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defaultThemeVersion="166925"/>
  <mc:AlternateContent xmlns:mc="http://schemas.openxmlformats.org/markup-compatibility/2006">
    <mc:Choice Requires="x15">
      <x15ac:absPath xmlns:x15ac="http://schemas.microsoft.com/office/spreadsheetml/2010/11/ac" url="\\tekko-nas\disk1\D設備支援課\a.★延払貸与\g.HP関係（簡易シミュレーション、申込書等）\"/>
    </mc:Choice>
  </mc:AlternateContent>
  <xr:revisionPtr revIDLastSave="0" documentId="13_ncr:1_{3391FEA4-FEBB-4923-89C8-3CC53E45FF23}" xr6:coauthVersionLast="47" xr6:coauthVersionMax="47" xr10:uidLastSave="{00000000-0000-0000-0000-000000000000}"/>
  <workbookProtection workbookAlgorithmName="SHA-512" workbookHashValue="YK3ru60r+V14PQ4tQXg93eAAaTNAW5Jf96KPwrywdOh79wNl/N+dGoTsdr0c5ytgaAUzde749oIr9MjoeLQf4A==" workbookSaltValue="bQ8HJieMhDg0LPVZjXZEgw==" workbookSpinCount="100000" lockStructure="1"/>
  <bookViews>
    <workbookView xWindow="-120" yWindow="-120" windowWidth="20730" windowHeight="11160" xr2:uid="{8780C6B9-8835-46A9-AFF1-73A6DD87EF83}"/>
  </bookViews>
  <sheets>
    <sheet name="シミュレーション" sheetId="1" r:id="rId1"/>
    <sheet name="計画表" sheetId="3" state="hidden" r:id="rId2"/>
    <sheet name="市町データ" sheetId="2" state="hidden" r:id="rId3"/>
  </sheets>
  <definedNames>
    <definedName name="_xlchart.v1.0" hidden="1">計画表!$G$90:$G$92</definedName>
    <definedName name="_xlchart.v1.1" hidden="1">計画表!$H$90:$H$92</definedName>
    <definedName name="_xlnm.Print_Area" localSheetId="0">シミュレーション!$A$1:$Q$31</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1" i="1" s="1"/>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L4" i="3"/>
  <c r="I4" i="3"/>
  <c r="J2" i="3" s="1"/>
  <c r="C2" i="3"/>
  <c r="C24" i="1"/>
  <c r="E19" i="1"/>
  <c r="E18" i="1"/>
  <c r="I13" i="1"/>
  <c r="N12" i="1"/>
  <c r="I2" i="3" s="1"/>
  <c r="E12" i="1"/>
  <c r="N11" i="1"/>
  <c r="K11" i="1"/>
  <c r="K12" i="1" s="1"/>
  <c r="H2" i="3" s="1"/>
  <c r="M10" i="1"/>
  <c r="E17" i="1" l="1"/>
  <c r="D52" i="3" s="1"/>
  <c r="F5" i="3"/>
  <c r="F6" i="3" s="1"/>
  <c r="D35" i="3" l="1"/>
  <c r="D22" i="3"/>
  <c r="D54" i="3"/>
  <c r="D39" i="3"/>
  <c r="D26" i="3"/>
  <c r="D61" i="3"/>
  <c r="D30" i="3"/>
  <c r="D40" i="3"/>
  <c r="D17" i="3"/>
  <c r="D27" i="3"/>
  <c r="D74" i="3"/>
  <c r="D62" i="3"/>
  <c r="D81" i="3"/>
  <c r="D69" i="3"/>
  <c r="D29" i="3"/>
  <c r="D85" i="3"/>
  <c r="D73" i="3"/>
  <c r="D33" i="3"/>
  <c r="D80" i="3"/>
  <c r="D21" i="3"/>
  <c r="D67" i="3"/>
  <c r="D53" i="3"/>
  <c r="D45" i="3"/>
  <c r="D46" i="3"/>
  <c r="D31" i="3"/>
  <c r="D36" i="3"/>
  <c r="D77" i="3"/>
  <c r="D83" i="3"/>
  <c r="D18" i="3"/>
  <c r="D23" i="3"/>
  <c r="D65" i="3"/>
  <c r="D70" i="3"/>
  <c r="D75" i="3"/>
  <c r="D57" i="3"/>
  <c r="D41" i="3"/>
  <c r="D49" i="3"/>
  <c r="D32" i="3"/>
  <c r="D37" i="3"/>
  <c r="D79" i="3"/>
  <c r="D84" i="3"/>
  <c r="D19" i="3"/>
  <c r="D25" i="3"/>
  <c r="D66" i="3"/>
  <c r="D71" i="3"/>
  <c r="D16" i="3"/>
  <c r="D58" i="3"/>
  <c r="D42" i="3"/>
  <c r="D50" i="3"/>
  <c r="D34" i="3"/>
  <c r="D38" i="3"/>
  <c r="D78" i="3"/>
  <c r="D82" i="3"/>
  <c r="D86" i="3"/>
  <c r="D20" i="3"/>
  <c r="D24" i="3"/>
  <c r="D28" i="3"/>
  <c r="D68" i="3"/>
  <c r="D72" i="3"/>
  <c r="D76" i="3"/>
  <c r="D55" i="3"/>
  <c r="D59" i="3"/>
  <c r="D63" i="3"/>
  <c r="D43" i="3"/>
  <c r="D47" i="3"/>
  <c r="D51" i="3"/>
  <c r="D56" i="3"/>
  <c r="D60" i="3"/>
  <c r="D64" i="3"/>
  <c r="D44" i="3"/>
  <c r="D48" i="3"/>
  <c r="E5" i="3"/>
  <c r="F7" i="3"/>
  <c r="D87" i="3" l="1"/>
  <c r="D88" i="3" s="1"/>
  <c r="F8" i="3"/>
  <c r="E6" i="3"/>
  <c r="E7" i="3" l="1"/>
  <c r="F9" i="3"/>
  <c r="E8" i="3" l="1"/>
  <c r="F10" i="3"/>
  <c r="E9" i="3" l="1"/>
  <c r="F11" i="3"/>
  <c r="F12" i="3" l="1"/>
  <c r="E10" i="3"/>
  <c r="E11" i="3" l="1"/>
  <c r="F13" i="3"/>
  <c r="E12" i="3" l="1"/>
  <c r="F14" i="3"/>
  <c r="E13" i="3" l="1"/>
  <c r="F15" i="3"/>
  <c r="F16" i="3" l="1"/>
  <c r="E14" i="3"/>
  <c r="F17" i="3" l="1"/>
  <c r="E15" i="3"/>
  <c r="G5" i="3" s="1"/>
  <c r="I5" i="3" l="1"/>
  <c r="H5" i="3"/>
  <c r="K5" i="3" s="1"/>
  <c r="F18" i="3"/>
  <c r="E16" i="3"/>
  <c r="F19" i="3" l="1"/>
  <c r="E17" i="3"/>
  <c r="L5" i="3"/>
  <c r="F20" i="3" l="1"/>
  <c r="E18" i="3"/>
  <c r="F21" i="3" l="1"/>
  <c r="E19" i="3"/>
  <c r="F22" i="3" l="1"/>
  <c r="E20" i="3"/>
  <c r="F23" i="3" l="1"/>
  <c r="E21" i="3"/>
  <c r="F24" i="3" l="1"/>
  <c r="E22" i="3"/>
  <c r="F25" i="3" l="1"/>
  <c r="E23" i="3"/>
  <c r="F26" i="3" l="1"/>
  <c r="E24" i="3"/>
  <c r="F27" i="3" l="1"/>
  <c r="E25" i="3"/>
  <c r="F28" i="3" l="1"/>
  <c r="E26" i="3"/>
  <c r="F29" i="3" l="1"/>
  <c r="E27" i="3"/>
  <c r="G16" i="3" s="1"/>
  <c r="H16" i="3" s="1"/>
  <c r="I16" i="3" l="1"/>
  <c r="F30" i="3"/>
  <c r="E28" i="3"/>
  <c r="F31" i="3" l="1"/>
  <c r="E29" i="3"/>
  <c r="K16" i="3"/>
  <c r="L16" i="3"/>
  <c r="F32" i="3" l="1"/>
  <c r="E30" i="3"/>
  <c r="F33" i="3" l="1"/>
  <c r="E31" i="3"/>
  <c r="F34" i="3" l="1"/>
  <c r="E32" i="3"/>
  <c r="F35" i="3" l="1"/>
  <c r="E33" i="3"/>
  <c r="F36" i="3" l="1"/>
  <c r="E34" i="3"/>
  <c r="F37" i="3" l="1"/>
  <c r="E35" i="3"/>
  <c r="F38" i="3" l="1"/>
  <c r="E36" i="3"/>
  <c r="F39" i="3" l="1"/>
  <c r="E37" i="3"/>
  <c r="F40" i="3" l="1"/>
  <c r="E38" i="3"/>
  <c r="F41" i="3" l="1"/>
  <c r="E39" i="3"/>
  <c r="G28" i="3" s="1"/>
  <c r="I28" i="3" l="1"/>
  <c r="H28" i="3"/>
  <c r="F42" i="3"/>
  <c r="E40" i="3"/>
  <c r="F43" i="3" l="1"/>
  <c r="E41" i="3"/>
  <c r="K28" i="3"/>
  <c r="L28" i="3"/>
  <c r="F44" i="3" l="1"/>
  <c r="E42" i="3"/>
  <c r="F45" i="3" l="1"/>
  <c r="E43" i="3"/>
  <c r="F46" i="3" l="1"/>
  <c r="E44" i="3"/>
  <c r="F47" i="3" l="1"/>
  <c r="E45" i="3"/>
  <c r="F48" i="3" l="1"/>
  <c r="E46" i="3"/>
  <c r="F49" i="3" l="1"/>
  <c r="E47" i="3"/>
  <c r="F50" i="3" l="1"/>
  <c r="E48" i="3"/>
  <c r="F51" i="3" l="1"/>
  <c r="E49" i="3"/>
  <c r="F52" i="3" l="1"/>
  <c r="E50" i="3"/>
  <c r="F53" i="3" l="1"/>
  <c r="E51" i="3"/>
  <c r="G40" i="3" s="1"/>
  <c r="I40" i="3" l="1"/>
  <c r="H40" i="3"/>
  <c r="F54" i="3"/>
  <c r="E52" i="3"/>
  <c r="K40" i="3" l="1"/>
  <c r="E53" i="3"/>
  <c r="F55" i="3"/>
  <c r="L40" i="3"/>
  <c r="E54" i="3" l="1"/>
  <c r="F56" i="3"/>
  <c r="E55" i="3" l="1"/>
  <c r="F57" i="3"/>
  <c r="E56" i="3" l="1"/>
  <c r="F58" i="3"/>
  <c r="E57" i="3" l="1"/>
  <c r="F59" i="3"/>
  <c r="E58" i="3" l="1"/>
  <c r="F60" i="3"/>
  <c r="E59" i="3" l="1"/>
  <c r="F61" i="3"/>
  <c r="E60" i="3" l="1"/>
  <c r="F62" i="3"/>
  <c r="E61" i="3" l="1"/>
  <c r="F63" i="3"/>
  <c r="E62" i="3" l="1"/>
  <c r="F64" i="3"/>
  <c r="F65" i="3" l="1"/>
  <c r="E63" i="3"/>
  <c r="G52" i="3" s="1"/>
  <c r="I52" i="3" l="1"/>
  <c r="H52" i="3"/>
  <c r="F66" i="3"/>
  <c r="E64" i="3"/>
  <c r="F67" i="3" l="1"/>
  <c r="E65" i="3"/>
  <c r="K52" i="3"/>
  <c r="L52" i="3"/>
  <c r="F68" i="3" l="1"/>
  <c r="E66" i="3"/>
  <c r="F69" i="3" l="1"/>
  <c r="E67" i="3"/>
  <c r="F70" i="3" l="1"/>
  <c r="E68" i="3"/>
  <c r="F71" i="3" l="1"/>
  <c r="E69" i="3"/>
  <c r="F72" i="3" l="1"/>
  <c r="E70" i="3"/>
  <c r="F73" i="3" l="1"/>
  <c r="E71" i="3"/>
  <c r="F74" i="3" l="1"/>
  <c r="E72" i="3"/>
  <c r="F75" i="3" l="1"/>
  <c r="E73" i="3"/>
  <c r="F76" i="3" l="1"/>
  <c r="E74" i="3"/>
  <c r="F77" i="3" l="1"/>
  <c r="E75" i="3"/>
  <c r="G64" i="3" s="1"/>
  <c r="I64" i="3" l="1"/>
  <c r="L64" i="3" s="1"/>
  <c r="H64" i="3"/>
  <c r="K64" i="3" s="1"/>
  <c r="F78" i="3"/>
  <c r="E76" i="3"/>
  <c r="F79" i="3" l="1"/>
  <c r="E77" i="3"/>
  <c r="F80" i="3" l="1"/>
  <c r="E78" i="3"/>
  <c r="F81" i="3" l="1"/>
  <c r="E79" i="3"/>
  <c r="F82" i="3" l="1"/>
  <c r="E80" i="3"/>
  <c r="F83" i="3" l="1"/>
  <c r="E81" i="3"/>
  <c r="F84" i="3" l="1"/>
  <c r="E82" i="3"/>
  <c r="F85" i="3" l="1"/>
  <c r="E83" i="3"/>
  <c r="F86" i="3" l="1"/>
  <c r="E84" i="3"/>
  <c r="F87" i="3" l="1"/>
  <c r="E85" i="3"/>
  <c r="E87" i="3" l="1"/>
  <c r="E86" i="3"/>
  <c r="G76" i="3" l="1"/>
  <c r="H76" i="3" s="1"/>
  <c r="K76" i="3" s="1"/>
  <c r="E88" i="3"/>
  <c r="I76" i="3" l="1"/>
  <c r="G88" i="3"/>
  <c r="H90" i="3"/>
  <c r="E20" i="1"/>
  <c r="H88" i="3" l="1"/>
  <c r="L76" i="3"/>
  <c r="I88" i="3"/>
  <c r="E24" i="1" s="1"/>
  <c r="E23" i="1" l="1"/>
  <c r="E25" i="1" s="1"/>
  <c r="F27" i="1" s="1"/>
  <c r="H91" i="3"/>
  <c r="H92" i="3" s="1"/>
  <c r="J28" i="1" l="1"/>
  <c r="F29" i="1"/>
  <c r="F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otomo</author>
  </authors>
  <commentList>
    <comment ref="J8" authorId="0" shapeId="0" xr:uid="{602B298D-E13E-47DF-9FA6-E899335FBBE6}">
      <text>
        <r>
          <rPr>
            <b/>
            <i/>
            <sz val="11"/>
            <color indexed="81"/>
            <rFont val="HG丸ｺﾞｼｯｸM-PRO"/>
            <family val="3"/>
            <charset val="128"/>
          </rPr>
          <t>【『常時使用する従業員』の定義】</t>
        </r>
        <r>
          <rPr>
            <sz val="11"/>
            <color indexed="81"/>
            <rFont val="HG丸ｺﾞｼｯｸM-PRO"/>
            <family val="3"/>
            <charset val="128"/>
          </rPr>
          <t xml:space="preserve">
　労働基準法第20条の規定に基づく「</t>
        </r>
        <r>
          <rPr>
            <u/>
            <sz val="11"/>
            <color indexed="10"/>
            <rFont val="HG丸ｺﾞｼｯｸM-PRO"/>
            <family val="3"/>
            <charset val="128"/>
          </rPr>
          <t>あらかじめ解雇の予告を必要とする者</t>
        </r>
        <r>
          <rPr>
            <sz val="11"/>
            <color indexed="81"/>
            <rFont val="HG丸ｺﾞｼｯｸM-PRO"/>
            <family val="3"/>
            <charset val="128"/>
          </rPr>
          <t>」が『常時使用する従業員』に該当する。
　よって、就業形態（正社員、パート、アルバイト、契約社員 等）で一律に判断するのではなく、あらかじめ解雇予告が必要となる者かどうかで個別に判断する。
※労働基準法第21条に規定される下記の労働者は</t>
        </r>
        <r>
          <rPr>
            <u/>
            <sz val="11"/>
            <color indexed="81"/>
            <rFont val="HG丸ｺﾞｼｯｸM-PRO"/>
            <family val="3"/>
            <charset val="128"/>
          </rPr>
          <t>該当しない</t>
        </r>
        <r>
          <rPr>
            <sz val="11"/>
            <color indexed="81"/>
            <rFont val="HG丸ｺﾞｼｯｸM-PRO"/>
            <family val="3"/>
            <charset val="128"/>
          </rPr>
          <t xml:space="preserve">。
　・日雇い者
　・2か月以内の有期雇用者
　・4か月以内の季節的業務の有期雇用者
　・試用期間中の者
</t>
        </r>
        <r>
          <rPr>
            <b/>
            <sz val="11"/>
            <color indexed="81"/>
            <rFont val="HG丸ｺﾞｼｯｸM-PRO"/>
            <family val="3"/>
            <charset val="128"/>
          </rPr>
          <t>！！注意！！</t>
        </r>
        <r>
          <rPr>
            <sz val="11"/>
            <color indexed="81"/>
            <rFont val="HG丸ｺﾞｼｯｸM-PRO"/>
            <family val="3"/>
            <charset val="128"/>
          </rPr>
          <t xml:space="preserve">
　・会社役員、取締役は「常時使用する従業員」に</t>
        </r>
        <r>
          <rPr>
            <u/>
            <sz val="11"/>
            <color indexed="81"/>
            <rFont val="HG丸ｺﾞｼｯｸM-PRO"/>
            <family val="3"/>
            <charset val="128"/>
          </rPr>
          <t>該当しない</t>
        </r>
        <r>
          <rPr>
            <sz val="11"/>
            <color indexed="81"/>
            <rFont val="HG丸ｺﾞｼｯｸM-PRO"/>
            <family val="3"/>
            <charset val="128"/>
          </rPr>
          <t>。
　・外国人技能実習生は「常時使用する従業員」に</t>
        </r>
        <r>
          <rPr>
            <u/>
            <sz val="11"/>
            <color indexed="81"/>
            <rFont val="HG丸ｺﾞｼｯｸM-PRO"/>
            <family val="3"/>
            <charset val="128"/>
          </rPr>
          <t>該当する</t>
        </r>
        <r>
          <rPr>
            <sz val="11"/>
            <color indexed="81"/>
            <rFont val="HG丸ｺﾞｼｯｸM-PRO"/>
            <family val="3"/>
            <charset val="128"/>
          </rPr>
          <t>。</t>
        </r>
      </text>
    </comment>
    <comment ref="C9" authorId="0" shapeId="0" xr:uid="{C0705A6B-E624-4A8F-8622-4AFB251F5DF9}">
      <text>
        <r>
          <rPr>
            <b/>
            <sz val="14"/>
            <color indexed="81"/>
            <rFont val="UD デジタル 教科書体 NP-R"/>
            <family val="1"/>
            <charset val="128"/>
          </rPr>
          <t>申込金額は6,000万円が上限となるため、超過する分は前納が必要です。</t>
        </r>
      </text>
    </comment>
    <comment ref="C10" authorId="0" shapeId="0" xr:uid="{93AA14F9-B4F2-49E2-B47D-AAA559F9D414}">
      <text>
        <r>
          <rPr>
            <b/>
            <sz val="16"/>
            <color indexed="81"/>
            <rFont val="UD デジタル 教科書体 NP-R"/>
            <family val="1"/>
            <charset val="128"/>
          </rPr>
          <t>機械価格の
0～50％の範囲内</t>
        </r>
      </text>
    </comment>
    <comment ref="C20" authorId="0" shapeId="0" xr:uid="{584CF1F6-193A-4736-8B33-4E1F1FD9185E}">
      <text>
        <r>
          <rPr>
            <b/>
            <sz val="14"/>
            <color indexed="81"/>
            <rFont val="HG丸ｺﾞｼｯｸM-PRO"/>
            <family val="3"/>
            <charset val="128"/>
          </rPr>
          <t>実際に支払う利息分</t>
        </r>
      </text>
    </comment>
    <comment ref="C25" authorId="0" shapeId="0" xr:uid="{812CE7A3-13AB-4762-B451-24C55586808A}">
      <text>
        <r>
          <rPr>
            <b/>
            <sz val="14"/>
            <color indexed="81"/>
            <rFont val="HG丸ｺﾞｼｯｸM-PRO"/>
            <family val="3"/>
            <charset val="128"/>
          </rPr>
          <t>後日戻ってくる利息分</t>
        </r>
      </text>
    </comment>
    <comment ref="C27" authorId="0" shapeId="0" xr:uid="{FBF092A1-10BD-4B03-93CD-17AF46F36CB2}">
      <text>
        <r>
          <rPr>
            <sz val="14"/>
            <color indexed="81"/>
            <rFont val="HG丸ｺﾞｼｯｸM-PRO"/>
            <family val="3"/>
            <charset val="128"/>
          </rPr>
          <t>「実際に支払った利息」
から
「後日戻ってくる利息分」
を引いた</t>
        </r>
        <r>
          <rPr>
            <b/>
            <sz val="14"/>
            <color indexed="81"/>
            <rFont val="HG丸ｺﾞｼｯｸM-PRO"/>
            <family val="3"/>
            <charset val="128"/>
          </rPr>
          <t xml:space="preserve">
「実際に負担することになる利息分」</t>
        </r>
      </text>
    </comment>
  </commentList>
</comments>
</file>

<file path=xl/sharedStrings.xml><?xml version="1.0" encoding="utf-8"?>
<sst xmlns="http://schemas.openxmlformats.org/spreadsheetml/2006/main" count="132" uniqueCount="82">
  <si>
    <t>【延払貸与制度】簡易シミュレーション</t>
    <rPh sb="1" eb="3">
      <t>ノベバラ</t>
    </rPh>
    <rPh sb="3" eb="7">
      <t>タイヨセイド</t>
    </rPh>
    <rPh sb="8" eb="10">
      <t>カンイ</t>
    </rPh>
    <phoneticPr fontId="2"/>
  </si>
  <si>
    <t>市町</t>
    <rPh sb="0" eb="2">
      <t>シチョウ</t>
    </rPh>
    <phoneticPr fontId="2"/>
  </si>
  <si>
    <t>貸与利率</t>
    <rPh sb="0" eb="4">
      <t>タイヨリリツ</t>
    </rPh>
    <phoneticPr fontId="2"/>
  </si>
  <si>
    <t>利子補給率</t>
    <rPh sb="0" eb="5">
      <t>リシホキュウリツ</t>
    </rPh>
    <phoneticPr fontId="2"/>
  </si>
  <si>
    <t>利子補給期間</t>
    <rPh sb="0" eb="6">
      <t>リシホキュウキカン</t>
    </rPh>
    <phoneticPr fontId="2"/>
  </si>
  <si>
    <t>過疎地域</t>
    <rPh sb="0" eb="4">
      <t>カソチイキ</t>
    </rPh>
    <phoneticPr fontId="2"/>
  </si>
  <si>
    <t>金沢市</t>
    <rPh sb="0" eb="3">
      <t>カナザワシ</t>
    </rPh>
    <phoneticPr fontId="1"/>
  </si>
  <si>
    <t>7年間</t>
    <rPh sb="1" eb="3">
      <t>ネンカン</t>
    </rPh>
    <phoneticPr fontId="2"/>
  </si>
  <si>
    <t>－</t>
    <phoneticPr fontId="2"/>
  </si>
  <si>
    <t>白山市</t>
    <rPh sb="0" eb="3">
      <t>ハクサンシ</t>
    </rPh>
    <phoneticPr fontId="1"/>
  </si>
  <si>
    <t>小松市</t>
    <rPh sb="0" eb="3">
      <t>コマツシ</t>
    </rPh>
    <phoneticPr fontId="1"/>
  </si>
  <si>
    <t>能美市</t>
    <rPh sb="0" eb="3">
      <t>ノミシ</t>
    </rPh>
    <phoneticPr fontId="1"/>
  </si>
  <si>
    <t>野々市市</t>
    <rPh sb="0" eb="4">
      <t>ノノイチシ</t>
    </rPh>
    <phoneticPr fontId="1"/>
  </si>
  <si>
    <t>内灘町</t>
    <rPh sb="0" eb="3">
      <t>ウチナダマチ</t>
    </rPh>
    <phoneticPr fontId="1"/>
  </si>
  <si>
    <t>加賀市</t>
    <rPh sb="0" eb="3">
      <t>カガシ</t>
    </rPh>
    <phoneticPr fontId="1"/>
  </si>
  <si>
    <t>七尾市</t>
    <rPh sb="0" eb="3">
      <t>ナナオシ</t>
    </rPh>
    <phoneticPr fontId="1"/>
  </si>
  <si>
    <t>○</t>
    <phoneticPr fontId="2"/>
  </si>
  <si>
    <t>羽咋市</t>
    <rPh sb="0" eb="3">
      <t>ハクイシ</t>
    </rPh>
    <phoneticPr fontId="1"/>
  </si>
  <si>
    <t>志賀町</t>
    <rPh sb="0" eb="3">
      <t>シカマチ</t>
    </rPh>
    <phoneticPr fontId="1"/>
  </si>
  <si>
    <t>宝達志水町</t>
    <rPh sb="0" eb="5">
      <t>ホウダツシミズチョウ</t>
    </rPh>
    <phoneticPr fontId="1"/>
  </si>
  <si>
    <t>川北町</t>
    <rPh sb="0" eb="3">
      <t>カワキタマチ</t>
    </rPh>
    <phoneticPr fontId="1"/>
  </si>
  <si>
    <t>中能登町</t>
    <rPh sb="0" eb="4">
      <t>ナカノトマチ</t>
    </rPh>
    <phoneticPr fontId="1"/>
  </si>
  <si>
    <t>珠洲市</t>
    <rPh sb="0" eb="3">
      <t>スズシ</t>
    </rPh>
    <phoneticPr fontId="1"/>
  </si>
  <si>
    <t>当初 4年間</t>
    <rPh sb="0" eb="2">
      <t>トウショ</t>
    </rPh>
    <rPh sb="4" eb="6">
      <t>ネンカン</t>
    </rPh>
    <phoneticPr fontId="2"/>
  </si>
  <si>
    <t>かほく市</t>
    <rPh sb="3" eb="4">
      <t>シ</t>
    </rPh>
    <phoneticPr fontId="1"/>
  </si>
  <si>
    <t>当初 3年間</t>
    <rPh sb="0" eb="2">
      <t>トウショ</t>
    </rPh>
    <rPh sb="4" eb="6">
      <t>ネンカン</t>
    </rPh>
    <phoneticPr fontId="2"/>
  </si>
  <si>
    <t>輪島市</t>
    <rPh sb="0" eb="3">
      <t>ワジマシ</t>
    </rPh>
    <phoneticPr fontId="1"/>
  </si>
  <si>
    <t>津幡町</t>
    <rPh sb="0" eb="3">
      <t>ツバタマチ</t>
    </rPh>
    <phoneticPr fontId="1"/>
  </si>
  <si>
    <t>穴水町</t>
    <rPh sb="0" eb="3">
      <t>アナミズマチ</t>
    </rPh>
    <phoneticPr fontId="1"/>
  </si>
  <si>
    <t>円</t>
    <rPh sb="0" eb="1">
      <t>エン</t>
    </rPh>
    <phoneticPr fontId="2"/>
  </si>
  <si>
    <t>常時使用する従業員は20人以下ですか？</t>
    <rPh sb="0" eb="4">
      <t>ジョウジシヨウ</t>
    </rPh>
    <rPh sb="6" eb="9">
      <t>ジュウギョウイン</t>
    </rPh>
    <rPh sb="12" eb="15">
      <t>ニンイカ</t>
    </rPh>
    <phoneticPr fontId="2"/>
  </si>
  <si>
    <t>石川県の経営革新計画は承認済みですか？</t>
    <rPh sb="0" eb="3">
      <t>イシカワケン</t>
    </rPh>
    <rPh sb="4" eb="10">
      <t>ケイエイカクシンケイカク</t>
    </rPh>
    <rPh sb="11" eb="14">
      <t>ショウニンズ</t>
    </rPh>
    <phoneticPr fontId="2"/>
  </si>
  <si>
    <t>Q1</t>
    <phoneticPr fontId="2"/>
  </si>
  <si>
    <t>Q2</t>
    <phoneticPr fontId="2"/>
  </si>
  <si>
    <t>Q3</t>
    <phoneticPr fontId="2"/>
  </si>
  <si>
    <t>Q4</t>
    <phoneticPr fontId="2"/>
  </si>
  <si>
    <t>利子補給期間</t>
    <rPh sb="0" eb="4">
      <t>リシホキュウ</t>
    </rPh>
    <rPh sb="4" eb="6">
      <t>キカン</t>
    </rPh>
    <phoneticPr fontId="2"/>
  </si>
  <si>
    <t>（Q2が「いいえの場合」）
現在申請している、又は申請予定ですか？</t>
    <rPh sb="9" eb="11">
      <t>バアイ</t>
    </rPh>
    <rPh sb="14" eb="16">
      <t>ゲンザイ</t>
    </rPh>
    <rPh sb="16" eb="18">
      <t>シンセイ</t>
    </rPh>
    <rPh sb="23" eb="24">
      <t>マタ</t>
    </rPh>
    <rPh sb="25" eb="29">
      <t>シンセイヨテイ</t>
    </rPh>
    <phoneticPr fontId="2"/>
  </si>
  <si>
    <t>返済回数</t>
    <rPh sb="0" eb="4">
      <t>ヘンサイカイスウ</t>
    </rPh>
    <phoneticPr fontId="2"/>
  </si>
  <si>
    <t>《シミュレーション結果》</t>
    <rPh sb="9" eb="11">
      <t>ケッカ</t>
    </rPh>
    <phoneticPr fontId="2"/>
  </si>
  <si>
    <t>石川県</t>
    <rPh sb="0" eb="3">
      <t>イシカワケン</t>
    </rPh>
    <phoneticPr fontId="2"/>
  </si>
  <si>
    <t>毎月返済元金</t>
    <rPh sb="0" eb="2">
      <t>マイツキ</t>
    </rPh>
    <rPh sb="2" eb="4">
      <t>ヘンサイ</t>
    </rPh>
    <rPh sb="4" eb="6">
      <t>ガンキン</t>
    </rPh>
    <phoneticPr fontId="2"/>
  </si>
  <si>
    <r>
      <rPr>
        <sz val="12"/>
        <color theme="1"/>
        <rFont val="HG丸ｺﾞｼｯｸM-PRO"/>
        <family val="3"/>
        <charset val="128"/>
      </rPr>
      <t>回</t>
    </r>
    <r>
      <rPr>
        <sz val="10"/>
        <color theme="1"/>
        <rFont val="HG丸ｺﾞｼｯｸM-PRO"/>
        <family val="3"/>
        <charset val="128"/>
      </rPr>
      <t>(据置除く)</t>
    </r>
    <rPh sb="0" eb="1">
      <t>カイ</t>
    </rPh>
    <rPh sb="2" eb="4">
      <t>スエオキ</t>
    </rPh>
    <rPh sb="4" eb="5">
      <t>ノゾ</t>
    </rPh>
    <phoneticPr fontId="2"/>
  </si>
  <si>
    <t>貸与利率</t>
    <rPh sb="0" eb="1">
      <t>カシ</t>
    </rPh>
    <rPh sb="1" eb="2">
      <t>ヨ</t>
    </rPh>
    <rPh sb="2" eb="3">
      <t>リ</t>
    </rPh>
    <rPh sb="3" eb="4">
      <t>リツ</t>
    </rPh>
    <phoneticPr fontId="2"/>
  </si>
  <si>
    <t>№</t>
    <phoneticPr fontId="2"/>
  </si>
  <si>
    <t>償還日</t>
    <rPh sb="0" eb="3">
      <t>ショウカンビ</t>
    </rPh>
    <phoneticPr fontId="2"/>
  </si>
  <si>
    <t>償還元金</t>
    <rPh sb="0" eb="4">
      <t>ショウカンガンキン</t>
    </rPh>
    <phoneticPr fontId="2"/>
  </si>
  <si>
    <t>貸与料</t>
    <rPh sb="0" eb="3">
      <t>タイヨリョウ</t>
    </rPh>
    <phoneticPr fontId="2"/>
  </si>
  <si>
    <t>貸与残高</t>
    <rPh sb="0" eb="4">
      <t>タイヨザンダカ</t>
    </rPh>
    <phoneticPr fontId="2"/>
  </si>
  <si>
    <t>合計</t>
    <rPh sb="0" eb="2">
      <t>ゴウケイ</t>
    </rPh>
    <phoneticPr fontId="2"/>
  </si>
  <si>
    <t>うち、利子補給分（貸与契約期間中合計）</t>
    <rPh sb="3" eb="7">
      <t>リシホキュウ</t>
    </rPh>
    <rPh sb="7" eb="8">
      <t>ブン</t>
    </rPh>
    <rPh sb="9" eb="18">
      <t>タイヨケイヤクキカンチュウゴウケイ</t>
    </rPh>
    <phoneticPr fontId="2"/>
  </si>
  <si>
    <t>利子補給</t>
    <rPh sb="0" eb="4">
      <t>リシホキュウ</t>
    </rPh>
    <phoneticPr fontId="2"/>
  </si>
  <si>
    <t>利子補給期間(数字だけ)</t>
    <rPh sb="0" eb="6">
      <t>リシホキュウキカン</t>
    </rPh>
    <rPh sb="7" eb="9">
      <t>スウジ</t>
    </rPh>
    <phoneticPr fontId="2"/>
  </si>
  <si>
    <t>貸与料合計 (A)</t>
    <rPh sb="0" eb="5">
      <t>タイヨリョウゴウケイ</t>
    </rPh>
    <phoneticPr fontId="2"/>
  </si>
  <si>
    <t>利子補給合計 (B)</t>
    <rPh sb="0" eb="2">
      <t>リシ</t>
    </rPh>
    <rPh sb="2" eb="4">
      <t>ホキュウ</t>
    </rPh>
    <rPh sb="4" eb="6">
      <t>ゴウケイ</t>
    </rPh>
    <phoneticPr fontId="2"/>
  </si>
  <si>
    <t>年度毎
貸与料</t>
    <rPh sb="0" eb="3">
      <t>ネンドゴト</t>
    </rPh>
    <rPh sb="4" eb="7">
      <t>タイヨリョウ</t>
    </rPh>
    <phoneticPr fontId="2"/>
  </si>
  <si>
    <t>↓当初３年間</t>
    <rPh sb="1" eb="3">
      <t>トウショ</t>
    </rPh>
    <rPh sb="4" eb="6">
      <t>ネンカン</t>
    </rPh>
    <phoneticPr fontId="2"/>
  </si>
  <si>
    <t>↓当初４年間</t>
    <rPh sb="1" eb="3">
      <t>トウショ</t>
    </rPh>
    <rPh sb="4" eb="6">
      <t>ネンカン</t>
    </rPh>
    <phoneticPr fontId="2"/>
  </si>
  <si>
    <t>(7年間)</t>
    <rPh sb="2" eb="4">
      <t>ネンカン</t>
    </rPh>
    <phoneticPr fontId="2"/>
  </si>
  <si>
    <t>(平均利率)</t>
    <rPh sb="1" eb="5">
      <t>ヘイキンリリツ</t>
    </rPh>
    <phoneticPr fontId="2"/>
  </si>
  <si>
    <t>%</t>
    <phoneticPr fontId="2"/>
  </si>
  <si>
    <t>旧高松町</t>
    <rPh sb="0" eb="4">
      <t>キュウタカマツマチ</t>
    </rPh>
    <phoneticPr fontId="1"/>
  </si>
  <si>
    <t>(年間平均)</t>
    <rPh sb="1" eb="3">
      <t>ネンカン</t>
    </rPh>
    <rPh sb="3" eb="5">
      <t>ヘイキン</t>
    </rPh>
    <phoneticPr fontId="2"/>
  </si>
  <si>
    <t>新品・中古の別</t>
    <rPh sb="0" eb="2">
      <t>シンピン</t>
    </rPh>
    <rPh sb="3" eb="5">
      <t>チュウコ</t>
    </rPh>
    <phoneticPr fontId="2"/>
  </si>
  <si>
    <r>
      <t xml:space="preserve">貸与料
実質負担額
</t>
    </r>
    <r>
      <rPr>
        <sz val="14"/>
        <color theme="1"/>
        <rFont val="HG丸ｺﾞｼｯｸM-PRO"/>
        <family val="3"/>
        <charset val="128"/>
      </rPr>
      <t>(A) - (B)</t>
    </r>
    <rPh sb="0" eb="1">
      <t>カシ</t>
    </rPh>
    <rPh sb="1" eb="2">
      <t>ヨ</t>
    </rPh>
    <rPh sb="2" eb="3">
      <t>リョウ</t>
    </rPh>
    <rPh sb="4" eb="6">
      <t>ジッシツ</t>
    </rPh>
    <rPh sb="6" eb="8">
      <t>フタン</t>
    </rPh>
    <rPh sb="8" eb="9">
      <t>ガク</t>
    </rPh>
    <phoneticPr fontId="2"/>
  </si>
  <si>
    <t>プルダウンから選択</t>
    <rPh sb="7" eb="9">
      <t>センタク</t>
    </rPh>
    <phoneticPr fontId="2"/>
  </si>
  <si>
    <t xml:space="preserve">頭金納入(任意) </t>
    <rPh sb="0" eb="2">
      <t>アタマキン</t>
    </rPh>
    <rPh sb="2" eb="4">
      <t>ノウニュウ</t>
    </rPh>
    <rPh sb="5" eb="7">
      <t>ニンイ</t>
    </rPh>
    <phoneticPr fontId="2"/>
  </si>
  <si>
    <t>機械設置予定地</t>
    <rPh sb="0" eb="2">
      <t>キカイ</t>
    </rPh>
    <rPh sb="2" eb="4">
      <t>セッチ</t>
    </rPh>
    <rPh sb="4" eb="6">
      <t>ヨテイ</t>
    </rPh>
    <rPh sb="6" eb="7">
      <t>チ</t>
    </rPh>
    <phoneticPr fontId="2"/>
  </si>
  <si>
    <t>《 石川県の利子補給要件 》</t>
    <rPh sb="2" eb="4">
      <t>イシカワ</t>
    </rPh>
    <rPh sb="4" eb="5">
      <t>ケン</t>
    </rPh>
    <rPh sb="6" eb="8">
      <t>リシ</t>
    </rPh>
    <rPh sb="8" eb="10">
      <t>ホキュウ</t>
    </rPh>
    <rPh sb="10" eb="12">
      <t>ヨウケン</t>
    </rPh>
    <phoneticPr fontId="2"/>
  </si>
  <si>
    <r>
      <t>機械設備価格</t>
    </r>
    <r>
      <rPr>
        <sz val="9"/>
        <color theme="1"/>
        <rFont val="HG丸ｺﾞｼｯｸM-PRO"/>
        <family val="3"/>
        <charset val="128"/>
      </rPr>
      <t>（税抜）</t>
    </r>
    <rPh sb="0" eb="2">
      <t>キカイ</t>
    </rPh>
    <rPh sb="2" eb="4">
      <t>セツビ</t>
    </rPh>
    <rPh sb="4" eb="6">
      <t>カカク</t>
    </rPh>
    <rPh sb="7" eb="9">
      <t>ゼイヌ</t>
    </rPh>
    <phoneticPr fontId="2"/>
  </si>
  <si>
    <t>機械を設置する地域は
「過疎(準過疎)地域」に指定されていますか？</t>
    <rPh sb="0" eb="2">
      <t>キカイ</t>
    </rPh>
    <rPh sb="3" eb="5">
      <t>セッチ</t>
    </rPh>
    <rPh sb="7" eb="9">
      <t>チイキ</t>
    </rPh>
    <rPh sb="12" eb="14">
      <t>カソ</t>
    </rPh>
    <rPh sb="15" eb="16">
      <t>ジュン</t>
    </rPh>
    <rPh sb="16" eb="18">
      <t>カソ</t>
    </rPh>
    <rPh sb="19" eb="21">
      <t>チイキ</t>
    </rPh>
    <rPh sb="23" eb="25">
      <t>シテイ</t>
    </rPh>
    <phoneticPr fontId="2"/>
  </si>
  <si>
    <t>利　子　補　給　率</t>
    <rPh sb="0" eb="1">
      <t>リ</t>
    </rPh>
    <rPh sb="2" eb="3">
      <t>コ</t>
    </rPh>
    <rPh sb="4" eb="5">
      <t>ホ</t>
    </rPh>
    <rPh sb="6" eb="7">
      <t>キュウ</t>
    </rPh>
    <rPh sb="8" eb="9">
      <t>リツ</t>
    </rPh>
    <phoneticPr fontId="2"/>
  </si>
  <si>
    <r>
      <rPr>
        <b/>
        <sz val="9"/>
        <color rgb="FFFF0000"/>
        <rFont val="HG丸ｺﾞｼｯｸM-PRO"/>
        <family val="3"/>
        <charset val="128"/>
      </rPr>
      <t>【注意事項】</t>
    </r>
    <r>
      <rPr>
        <sz val="9"/>
        <color rgb="FFFF0000"/>
        <rFont val="HG丸ｺﾞｼｯｸM-PRO"/>
        <family val="3"/>
        <charset val="128"/>
      </rPr>
      <t xml:space="preserve">
　</t>
    </r>
    <r>
      <rPr>
        <sz val="9"/>
        <color theme="1"/>
        <rFont val="HG丸ｺﾞｼｯｸM-PRO"/>
        <family val="3"/>
        <charset val="128"/>
      </rPr>
      <t>本シミュレーションはあくまで参考です。利子補給の内容、審査通過、貸与決定等を保証するものではございません。また、貸与料、利子補給額、毎月返済額等についても参考値（概算値）ですので、本シミュレーションに表示されている金額が確約されているものではないことをご承知おきください。</t>
    </r>
    <rPh sb="40" eb="44">
      <t>タイヨケッテイ</t>
    </rPh>
    <rPh sb="64" eb="67">
      <t>タイヨリョウ</t>
    </rPh>
    <rPh sb="78" eb="79">
      <t>ガク</t>
    </rPh>
    <rPh sb="89" eb="92">
      <t>ガイサンチ</t>
    </rPh>
    <phoneticPr fontId="2"/>
  </si>
  <si>
    <t>貸与料</t>
    <rPh sb="0" eb="3">
      <t>タイヨリョウ</t>
    </rPh>
    <phoneticPr fontId="2"/>
  </si>
  <si>
    <t>利子補給</t>
    <rPh sb="0" eb="4">
      <t>リシホキュウ</t>
    </rPh>
    <phoneticPr fontId="2"/>
  </si>
  <si>
    <t>実質負担</t>
    <rPh sb="0" eb="4">
      <t>ジッシツフタン</t>
    </rPh>
    <phoneticPr fontId="2"/>
  </si>
  <si>
    <t>貸与申込金額</t>
    <rPh sb="0" eb="2">
      <t>タイヨ</t>
    </rPh>
    <rPh sb="2" eb="4">
      <t>モウシコミ</t>
    </rPh>
    <rPh sb="4" eb="6">
      <t>キンガク</t>
    </rPh>
    <phoneticPr fontId="2"/>
  </si>
  <si>
    <t>申込金額超過前納分</t>
    <rPh sb="0" eb="4">
      <t>モウシコミキンガク</t>
    </rPh>
    <rPh sb="4" eb="6">
      <t>チョウカ</t>
    </rPh>
    <rPh sb="6" eb="9">
      <t>ゼンノウブン</t>
    </rPh>
    <phoneticPr fontId="2"/>
  </si>
  <si>
    <t>プルダウンから選択</t>
  </si>
  <si>
    <r>
      <t>《使い方》白色セルの箇所について、</t>
    </r>
    <r>
      <rPr>
        <b/>
        <u/>
        <sz val="11"/>
        <color rgb="FFFF0000"/>
        <rFont val="HG丸ｺﾞｼｯｸM-PRO"/>
        <family val="3"/>
        <charset val="128"/>
      </rPr>
      <t>数値を入力</t>
    </r>
    <r>
      <rPr>
        <b/>
        <sz val="11"/>
        <color rgb="FFFF0000"/>
        <rFont val="HG丸ｺﾞｼｯｸM-PRO"/>
        <family val="3"/>
        <charset val="128"/>
      </rPr>
      <t>または</t>
    </r>
    <r>
      <rPr>
        <b/>
        <u/>
        <sz val="11"/>
        <color rgb="FFFF0000"/>
        <rFont val="HG丸ｺﾞｼｯｸM-PRO"/>
        <family val="3"/>
        <charset val="128"/>
      </rPr>
      <t>プルダウンから選択</t>
    </r>
    <r>
      <rPr>
        <b/>
        <sz val="11"/>
        <color rgb="FFFF0000"/>
        <rFont val="HG丸ｺﾞｼｯｸM-PRO"/>
        <family val="3"/>
        <charset val="128"/>
      </rPr>
      <t>してください。</t>
    </r>
    <rPh sb="1" eb="2">
      <t>ツカ</t>
    </rPh>
    <rPh sb="3" eb="4">
      <t>カタ</t>
    </rPh>
    <rPh sb="10" eb="12">
      <t>カショ</t>
    </rPh>
    <rPh sb="17" eb="19">
      <t>スウチ</t>
    </rPh>
    <rPh sb="20" eb="22">
      <t>ニュウリョク</t>
    </rPh>
    <phoneticPr fontId="2"/>
  </si>
  <si>
    <t>（令和６年度現在）</t>
    <rPh sb="1" eb="3">
      <t>レイワ</t>
    </rPh>
    <rPh sb="4" eb="6">
      <t>ネンド</t>
    </rPh>
    <rPh sb="6" eb="8">
      <t>ゲンザイ</t>
    </rPh>
    <phoneticPr fontId="2"/>
  </si>
  <si>
    <t>《 導入機械について 》</t>
    <rPh sb="2" eb="4">
      <t>ドウニュウ</t>
    </rPh>
    <rPh sb="4" eb="6">
      <t>キカイ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</si>
</sst>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_);[Red]\(0.00\)"/>
    <numFmt numFmtId="178" formatCode="[Red][&gt;60000000]&quot;金額オーバー&quot;;#,###"/>
    <numFmt numFmtId="179" formatCode="&quot;¥&quot;#,##0_);[Red]\(&quot;¥&quot;#,##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b/>
      <sz val="11"/>
      <color theme="1"/>
      <name val="HG丸ｺﾞｼｯｸM-PRO"/>
      <family val="3"/>
      <charset val="128"/>
    </font>
    <font>
      <b/>
      <sz val="11"/>
      <color rgb="FFFF0000"/>
      <name val="HG丸ｺﾞｼｯｸM-PRO"/>
      <family val="3"/>
      <charset val="128"/>
    </font>
    <font>
      <b/>
      <sz val="18"/>
      <color theme="1"/>
      <name val="HG丸ｺﾞｼｯｸM-PRO"/>
      <family val="3"/>
      <charset val="128"/>
    </font>
    <font>
      <b/>
      <sz val="14"/>
      <color theme="1"/>
      <name val="HG丸ｺﾞｼｯｸM-PRO"/>
      <family val="3"/>
      <charset val="128"/>
    </font>
    <font>
      <sz val="12"/>
      <color theme="1"/>
      <name val="ＭＳ 明朝"/>
      <family val="1"/>
      <charset val="128"/>
    </font>
    <font>
      <sz val="11"/>
      <color theme="1"/>
      <name val="ＭＳ 明朝"/>
      <family val="1"/>
      <charset val="128"/>
    </font>
    <font>
      <sz val="16"/>
      <color theme="1"/>
      <name val="HG丸ｺﾞｼｯｸM-PRO"/>
      <family val="3"/>
      <charset val="128"/>
    </font>
    <font>
      <b/>
      <sz val="14"/>
      <color indexed="81"/>
      <name val="HG丸ｺﾞｼｯｸM-PRO"/>
      <family val="3"/>
      <charset val="128"/>
    </font>
    <font>
      <b/>
      <u/>
      <sz val="11"/>
      <color rgb="FFFF0000"/>
      <name val="HG丸ｺﾞｼｯｸM-PRO"/>
      <family val="3"/>
      <charset val="128"/>
    </font>
    <font>
      <sz val="14"/>
      <color rgb="FFFF0000"/>
      <name val="HG丸ｺﾞｼｯｸM-PRO"/>
      <family val="3"/>
      <charset val="128"/>
    </font>
    <font>
      <b/>
      <sz val="14"/>
      <color rgb="FFFF0000"/>
      <name val="HG丸ｺﾞｼｯｸM-PRO"/>
      <family val="3"/>
      <charset val="128"/>
    </font>
    <font>
      <b/>
      <i/>
      <sz val="16"/>
      <color theme="1"/>
      <name val="HG丸ｺﾞｼｯｸM-PRO"/>
      <family val="3"/>
      <charset val="128"/>
    </font>
    <font>
      <sz val="14"/>
      <color indexed="81"/>
      <name val="HG丸ｺﾞｼｯｸM-PRO"/>
      <family val="3"/>
      <charset val="128"/>
    </font>
    <font>
      <b/>
      <sz val="16"/>
      <color indexed="81"/>
      <name val="UD デジタル 教科書体 NP-R"/>
      <family val="1"/>
      <charset val="128"/>
    </font>
    <font>
      <sz val="9"/>
      <color theme="1"/>
      <name val="HG丸ｺﾞｼｯｸM-PRO"/>
      <family val="3"/>
      <charset val="128"/>
    </font>
    <font>
      <sz val="9"/>
      <color rgb="FFFF0000"/>
      <name val="HG丸ｺﾞｼｯｸM-PRO"/>
      <family val="3"/>
      <charset val="128"/>
    </font>
    <font>
      <b/>
      <sz val="9"/>
      <color rgb="FFFF0000"/>
      <name val="HG丸ｺﾞｼｯｸM-PRO"/>
      <family val="3"/>
      <charset val="128"/>
    </font>
    <font>
      <b/>
      <sz val="14"/>
      <color indexed="81"/>
      <name val="UD デジタル 教科書体 NP-R"/>
      <family val="1"/>
      <charset val="128"/>
    </font>
    <font>
      <b/>
      <sz val="16"/>
      <color rgb="FFFF0000"/>
      <name val="HG丸ｺﾞｼｯｸM-PRO"/>
      <family val="3"/>
      <charset val="128"/>
    </font>
    <font>
      <b/>
      <sz val="11"/>
      <color indexed="81"/>
      <name val="HG丸ｺﾞｼｯｸM-PRO"/>
      <family val="3"/>
      <charset val="128"/>
    </font>
    <font>
      <sz val="11"/>
      <color indexed="81"/>
      <name val="HG丸ｺﾞｼｯｸM-PRO"/>
      <family val="3"/>
      <charset val="128"/>
    </font>
    <font>
      <u/>
      <sz val="11"/>
      <color indexed="81"/>
      <name val="HG丸ｺﾞｼｯｸM-PRO"/>
      <family val="3"/>
      <charset val="128"/>
    </font>
    <font>
      <b/>
      <i/>
      <sz val="11"/>
      <color indexed="81"/>
      <name val="HG丸ｺﾞｼｯｸM-PRO"/>
      <family val="3"/>
      <charset val="128"/>
    </font>
    <font>
      <u/>
      <sz val="11"/>
      <color indexed="10"/>
      <name val="HG丸ｺﾞｼｯｸM-PRO"/>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9FFCC"/>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tted">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style="mediumDashed">
        <color indexed="64"/>
      </bottom>
      <diagonal/>
    </border>
    <border>
      <left style="double">
        <color indexed="64"/>
      </left>
      <right/>
      <top/>
      <bottom style="mediumDashed">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bottom style="dotted">
        <color indexed="64"/>
      </bottom>
      <diagonal/>
    </border>
    <border>
      <left/>
      <right/>
      <top/>
      <bottom style="dotted">
        <color indexed="64"/>
      </bottom>
      <diagonal/>
    </border>
    <border>
      <left/>
      <right/>
      <top style="dotted">
        <color indexed="64"/>
      </top>
      <bottom style="medium">
        <color indexed="64"/>
      </bottom>
      <diagonal/>
    </border>
    <border>
      <left style="double">
        <color indexed="64"/>
      </left>
      <right/>
      <top style="mediumDash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10" fontId="0" fillId="0" borderId="1" xfId="2" applyNumberFormat="1" applyFont="1" applyBorder="1" applyAlignment="1">
      <alignment horizontal="center" vertical="center"/>
    </xf>
    <xf numFmtId="0" fontId="0" fillId="0" borderId="1" xfId="2" applyNumberFormat="1" applyFont="1" applyBorder="1" applyAlignment="1">
      <alignment horizontal="center" vertical="center"/>
    </xf>
    <xf numFmtId="0" fontId="11" fillId="0" borderId="0" xfId="0" applyFont="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distributed" vertical="center" indent="1"/>
    </xf>
    <xf numFmtId="38" fontId="11" fillId="0" borderId="1" xfId="1" applyFont="1" applyFill="1" applyBorder="1" applyAlignment="1">
      <alignment horizontal="right" vertical="center" indent="1"/>
    </xf>
    <xf numFmtId="176"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10" fontId="11" fillId="0" borderId="1" xfId="2" applyNumberFormat="1" applyFont="1" applyFill="1" applyBorder="1" applyAlignment="1">
      <alignment horizontal="center" vertical="center"/>
    </xf>
    <xf numFmtId="38" fontId="11" fillId="0" borderId="17" xfId="1" applyFont="1" applyFill="1" applyBorder="1" applyAlignment="1">
      <alignment horizontal="right" vertical="center" indent="1"/>
    </xf>
    <xf numFmtId="38" fontId="11" fillId="0" borderId="22" xfId="1" applyFont="1" applyFill="1" applyBorder="1" applyAlignment="1">
      <alignment horizontal="right" vertical="center" indent="1"/>
    </xf>
    <xf numFmtId="0" fontId="11" fillId="0" borderId="23" xfId="0" applyFont="1" applyBorder="1" applyAlignment="1">
      <alignment horizontal="center" vertical="center" shrinkToFit="1"/>
    </xf>
    <xf numFmtId="176" fontId="11" fillId="0" borderId="21" xfId="0" applyNumberFormat="1" applyFont="1" applyBorder="1" applyAlignment="1">
      <alignment horizontal="center" vertical="center"/>
    </xf>
    <xf numFmtId="38" fontId="11" fillId="0" borderId="21" xfId="1" applyFont="1" applyFill="1" applyBorder="1" applyAlignment="1">
      <alignment horizontal="right" vertical="center" indent="1"/>
    </xf>
    <xf numFmtId="0" fontId="12" fillId="0" borderId="1" xfId="0" applyFont="1" applyBorder="1" applyAlignment="1">
      <alignment horizontal="center" vertical="center"/>
    </xf>
    <xf numFmtId="0" fontId="0" fillId="2" borderId="1" xfId="0" applyFill="1" applyBorder="1" applyAlignment="1">
      <alignment horizontal="center" vertical="center" wrapText="1"/>
    </xf>
    <xf numFmtId="0" fontId="0" fillId="0" borderId="19" xfId="0" applyBorder="1">
      <alignment vertical="center"/>
    </xf>
    <xf numFmtId="10" fontId="11" fillId="0" borderId="12" xfId="2" applyNumberFormat="1" applyFont="1" applyFill="1" applyBorder="1" applyAlignment="1">
      <alignment horizontal="center" vertical="center"/>
    </xf>
    <xf numFmtId="0" fontId="12" fillId="0" borderId="12" xfId="0" applyFont="1" applyBorder="1" applyAlignment="1">
      <alignment horizontal="center" vertical="center"/>
    </xf>
    <xf numFmtId="38" fontId="11" fillId="0" borderId="0" xfId="1" applyFont="1" applyFill="1" applyBorder="1" applyAlignment="1">
      <alignment horizontal="right" vertical="center" indent="1"/>
    </xf>
    <xf numFmtId="0" fontId="11" fillId="0" borderId="0" xfId="0" applyFont="1" applyAlignment="1">
      <alignment horizontal="distributed" vertical="center" wrapText="1" indent="1"/>
    </xf>
    <xf numFmtId="0" fontId="11" fillId="0" borderId="1" xfId="0" applyFont="1" applyBorder="1" applyAlignment="1">
      <alignment horizontal="distributed" vertical="center" wrapText="1" indent="1"/>
    </xf>
    <xf numFmtId="38" fontId="11" fillId="0" borderId="0" xfId="1" applyFont="1" applyFill="1" applyBorder="1" applyAlignment="1">
      <alignment vertical="center"/>
    </xf>
    <xf numFmtId="0" fontId="0" fillId="0" borderId="20" xfId="0" applyBorder="1">
      <alignment vertical="center"/>
    </xf>
    <xf numFmtId="177" fontId="0" fillId="0" borderId="1" xfId="2" applyNumberFormat="1" applyFont="1" applyBorder="1" applyAlignment="1">
      <alignment horizontal="center" vertical="center"/>
    </xf>
    <xf numFmtId="38" fontId="11" fillId="0" borderId="0" xfId="0" applyNumberFormat="1" applyFont="1">
      <alignment vertical="center"/>
    </xf>
    <xf numFmtId="0" fontId="5" fillId="5" borderId="1" xfId="0" applyFont="1"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shrinkToFit="1"/>
      <protection locked="0"/>
    </xf>
    <xf numFmtId="0" fontId="3" fillId="0" borderId="0" xfId="0" applyFont="1">
      <alignment vertical="center"/>
    </xf>
    <xf numFmtId="0" fontId="3" fillId="0" borderId="8" xfId="0" applyFont="1" applyBorder="1">
      <alignment vertical="center"/>
    </xf>
    <xf numFmtId="0" fontId="3" fillId="0" borderId="6" xfId="0" applyFont="1" applyBorder="1">
      <alignment vertical="center"/>
    </xf>
    <xf numFmtId="0" fontId="3" fillId="4" borderId="2" xfId="0" applyFont="1" applyFill="1" applyBorder="1">
      <alignment vertical="center"/>
    </xf>
    <xf numFmtId="0" fontId="3" fillId="4" borderId="3" xfId="0" applyFont="1" applyFill="1" applyBorder="1">
      <alignment vertical="center"/>
    </xf>
    <xf numFmtId="0" fontId="3" fillId="4" borderId="3" xfId="0" applyFont="1" applyFill="1" applyBorder="1" applyAlignment="1">
      <alignment horizontal="right" vertical="center"/>
    </xf>
    <xf numFmtId="0" fontId="3" fillId="4" borderId="0" xfId="0" applyFont="1" applyFill="1" applyAlignment="1">
      <alignment horizontal="right" vertical="center"/>
    </xf>
    <xf numFmtId="0" fontId="3" fillId="4" borderId="4" xfId="0" applyFont="1" applyFill="1" applyBorder="1">
      <alignment vertical="center"/>
    </xf>
    <xf numFmtId="0" fontId="3" fillId="0" borderId="5" xfId="0" applyFont="1" applyBorder="1">
      <alignment vertical="center"/>
    </xf>
    <xf numFmtId="0" fontId="3" fillId="4" borderId="0" xfId="0" applyFont="1" applyFill="1">
      <alignment vertical="center"/>
    </xf>
    <xf numFmtId="0" fontId="3" fillId="4" borderId="5" xfId="0" applyFont="1" applyFill="1" applyBorder="1">
      <alignment vertical="center"/>
    </xf>
    <xf numFmtId="0" fontId="3" fillId="4" borderId="6" xfId="0" applyFont="1" applyFill="1" applyBorder="1">
      <alignment vertical="center"/>
    </xf>
    <xf numFmtId="0" fontId="10" fillId="4" borderId="10" xfId="0" applyFont="1" applyFill="1" applyBorder="1">
      <alignment vertical="center"/>
    </xf>
    <xf numFmtId="0" fontId="5" fillId="4" borderId="0" xfId="0" applyFont="1" applyFill="1">
      <alignment vertical="center"/>
    </xf>
    <xf numFmtId="0" fontId="3" fillId="4" borderId="11" xfId="0" applyFont="1" applyFill="1" applyBorder="1" applyAlignment="1">
      <alignment horizontal="center" vertical="center"/>
    </xf>
    <xf numFmtId="0" fontId="3" fillId="4" borderId="12" xfId="0" applyFont="1" applyFill="1" applyBorder="1" applyAlignment="1">
      <alignment vertical="center" wrapText="1" shrinkToFit="1"/>
    </xf>
    <xf numFmtId="0" fontId="3" fillId="4" borderId="18" xfId="0" applyFont="1" applyFill="1" applyBorder="1" applyAlignment="1">
      <alignment horizontal="center" vertical="center"/>
    </xf>
    <xf numFmtId="0" fontId="3" fillId="4" borderId="15" xfId="0" applyFont="1" applyFill="1" applyBorder="1" applyAlignment="1">
      <alignment vertical="center" wrapText="1"/>
    </xf>
    <xf numFmtId="0" fontId="5" fillId="4" borderId="16" xfId="0" applyFont="1" applyFill="1" applyBorder="1" applyAlignment="1">
      <alignment horizontal="center" vertical="center" wrapText="1"/>
    </xf>
    <xf numFmtId="0" fontId="5" fillId="4" borderId="19" xfId="0" applyFont="1" applyFill="1" applyBorder="1" applyAlignment="1">
      <alignment horizontal="distributed" vertical="center" indent="1"/>
    </xf>
    <xf numFmtId="0" fontId="5" fillId="4" borderId="37" xfId="2" applyNumberFormat="1" applyFont="1" applyFill="1" applyBorder="1" applyAlignment="1" applyProtection="1">
      <alignment horizontal="center" vertical="center" shrinkToFit="1"/>
    </xf>
    <xf numFmtId="10" fontId="5" fillId="4" borderId="26" xfId="2" applyNumberFormat="1" applyFont="1" applyFill="1" applyBorder="1" applyAlignment="1" applyProtection="1">
      <alignment horizontal="center" vertical="center" wrapText="1"/>
    </xf>
    <xf numFmtId="0" fontId="5" fillId="4" borderId="27" xfId="0" applyFont="1" applyFill="1" applyBorder="1" applyAlignment="1">
      <alignment horizontal="distributed" vertical="center" indent="1"/>
    </xf>
    <xf numFmtId="10" fontId="5" fillId="4" borderId="26" xfId="2" applyNumberFormat="1" applyFont="1" applyFill="1" applyBorder="1" applyAlignment="1" applyProtection="1">
      <alignment horizontal="center" vertical="center" shrinkToFit="1"/>
    </xf>
    <xf numFmtId="0" fontId="3" fillId="4" borderId="44" xfId="0" applyFont="1" applyFill="1" applyBorder="1">
      <alignment vertical="center"/>
    </xf>
    <xf numFmtId="0" fontId="3" fillId="4" borderId="13" xfId="0" applyFont="1" applyFill="1" applyBorder="1">
      <alignment vertical="center"/>
    </xf>
    <xf numFmtId="0" fontId="4" fillId="4" borderId="13" xfId="0" applyFont="1" applyFill="1" applyBorder="1">
      <alignment vertical="center"/>
    </xf>
    <xf numFmtId="0" fontId="3" fillId="4" borderId="43" xfId="0" applyFont="1" applyFill="1" applyBorder="1">
      <alignment vertical="center"/>
    </xf>
    <xf numFmtId="0" fontId="3" fillId="4" borderId="51" xfId="0" applyFont="1" applyFill="1" applyBorder="1">
      <alignment vertical="center"/>
    </xf>
    <xf numFmtId="0" fontId="6" fillId="4" borderId="0" xfId="0" applyFont="1" applyFill="1">
      <alignment vertical="center"/>
    </xf>
    <xf numFmtId="0" fontId="5" fillId="4" borderId="0" xfId="0" applyFont="1" applyFill="1" applyAlignment="1">
      <alignment horizontal="center" vertical="center"/>
    </xf>
    <xf numFmtId="0" fontId="4" fillId="4" borderId="14" xfId="0" applyFont="1" applyFill="1" applyBorder="1">
      <alignment vertical="center"/>
    </xf>
    <xf numFmtId="0" fontId="5" fillId="4" borderId="20" xfId="0" applyFont="1" applyFill="1" applyBorder="1">
      <alignment vertical="center"/>
    </xf>
    <xf numFmtId="0" fontId="5" fillId="4" borderId="0" xfId="0" applyFont="1" applyFill="1" applyAlignment="1">
      <alignment wrapText="1"/>
    </xf>
    <xf numFmtId="179" fontId="3" fillId="4" borderId="0" xfId="0" applyNumberFormat="1" applyFont="1" applyFill="1" applyAlignment="1">
      <alignment vertical="center" wrapText="1"/>
    </xf>
    <xf numFmtId="0" fontId="4" fillId="4" borderId="0" xfId="0" applyFont="1" applyFill="1" applyAlignment="1"/>
    <xf numFmtId="0" fontId="7" fillId="4" borderId="33"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8" xfId="0" applyFont="1" applyFill="1" applyBorder="1" applyAlignment="1">
      <alignment horizontal="center" vertical="center"/>
    </xf>
    <xf numFmtId="0" fontId="3" fillId="4" borderId="7" xfId="0" applyFont="1" applyFill="1" applyBorder="1">
      <alignment vertical="center"/>
    </xf>
    <xf numFmtId="0" fontId="3" fillId="4" borderId="8" xfId="0" applyFont="1" applyFill="1" applyBorder="1">
      <alignment vertical="center"/>
    </xf>
    <xf numFmtId="0" fontId="3" fillId="4" borderId="9" xfId="0" applyFont="1" applyFill="1" applyBorder="1">
      <alignment vertical="center"/>
    </xf>
    <xf numFmtId="0" fontId="3" fillId="4" borderId="0" xfId="0" applyFont="1" applyFill="1" applyAlignment="1">
      <alignment vertical="center" wrapText="1"/>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5" fillId="4" borderId="1" xfId="0" applyFont="1" applyFill="1" applyBorder="1" applyAlignment="1">
      <alignment horizontal="distributed" vertical="center" indent="1"/>
    </xf>
    <xf numFmtId="0" fontId="9" fillId="4" borderId="3" xfId="0" applyFont="1" applyFill="1" applyBorder="1" applyAlignment="1">
      <alignment horizontal="left" vertical="center"/>
    </xf>
    <xf numFmtId="0" fontId="9" fillId="4" borderId="0" xfId="0" applyFont="1" applyFill="1" applyAlignment="1">
      <alignment horizontal="left" vertical="center"/>
    </xf>
    <xf numFmtId="0" fontId="8" fillId="4" borderId="0" xfId="0" applyFont="1" applyFill="1">
      <alignment vertical="center"/>
    </xf>
    <xf numFmtId="40" fontId="17" fillId="4" borderId="50" xfId="1" applyNumberFormat="1" applyFont="1" applyFill="1" applyBorder="1" applyAlignment="1" applyProtection="1">
      <alignment horizontal="right" vertical="center" shrinkToFit="1"/>
    </xf>
    <xf numFmtId="40" fontId="17" fillId="4" borderId="39" xfId="1" applyNumberFormat="1" applyFont="1" applyFill="1" applyBorder="1" applyAlignment="1" applyProtection="1">
      <alignment horizontal="right" vertical="center" shrinkToFit="1"/>
    </xf>
    <xf numFmtId="38" fontId="17" fillId="4" borderId="49" xfId="1" applyFont="1" applyFill="1" applyBorder="1" applyAlignment="1" applyProtection="1">
      <alignment horizontal="right" vertical="center" shrinkToFit="1"/>
    </xf>
    <xf numFmtId="38" fontId="17" fillId="4" borderId="48" xfId="1" applyFont="1" applyFill="1" applyBorder="1" applyAlignment="1" applyProtection="1">
      <alignment horizontal="right" vertical="center" shrinkToFit="1"/>
    </xf>
    <xf numFmtId="38" fontId="17" fillId="4" borderId="47" xfId="1" applyFont="1" applyFill="1" applyBorder="1" applyAlignment="1" applyProtection="1">
      <alignment horizontal="right" vertical="center" shrinkToFit="1"/>
    </xf>
    <xf numFmtId="38" fontId="17" fillId="4" borderId="34" xfId="1" applyFont="1" applyFill="1" applyBorder="1" applyAlignment="1" applyProtection="1">
      <alignment horizontal="right" vertical="center" shrinkToFit="1"/>
    </xf>
    <xf numFmtId="38" fontId="17" fillId="4" borderId="40" xfId="0" applyNumberFormat="1" applyFont="1" applyFill="1" applyBorder="1" applyAlignment="1">
      <alignment horizontal="right" vertical="center" indent="1"/>
    </xf>
    <xf numFmtId="38" fontId="17" fillId="4" borderId="41" xfId="0" applyNumberFormat="1" applyFont="1" applyFill="1" applyBorder="1" applyAlignment="1">
      <alignment horizontal="right" vertical="center" indent="1"/>
    </xf>
    <xf numFmtId="38" fontId="17" fillId="4" borderId="42" xfId="0" applyNumberFormat="1" applyFont="1" applyFill="1" applyBorder="1" applyAlignment="1">
      <alignment horizontal="right" vertical="center" indent="1"/>
    </xf>
    <xf numFmtId="38" fontId="16" fillId="4" borderId="23" xfId="1" applyFont="1" applyFill="1" applyBorder="1" applyAlignment="1" applyProtection="1">
      <alignment horizontal="right" vertical="center" indent="1"/>
    </xf>
    <xf numFmtId="38" fontId="16" fillId="4" borderId="46" xfId="1" applyFont="1" applyFill="1" applyBorder="1" applyAlignment="1" applyProtection="1">
      <alignment horizontal="right" vertical="center" indent="1"/>
    </xf>
    <xf numFmtId="38" fontId="16" fillId="4" borderId="25" xfId="1" applyFont="1" applyFill="1" applyBorder="1" applyAlignment="1" applyProtection="1">
      <alignment horizontal="right" vertical="center" indent="1"/>
    </xf>
    <xf numFmtId="38" fontId="16" fillId="4" borderId="11" xfId="1" applyFont="1" applyFill="1" applyBorder="1" applyAlignment="1" applyProtection="1">
      <alignment horizontal="right" vertical="center" indent="1"/>
    </xf>
    <xf numFmtId="38" fontId="16" fillId="4" borderId="45" xfId="1" applyFont="1" applyFill="1" applyBorder="1" applyAlignment="1" applyProtection="1">
      <alignment horizontal="right" vertical="center" indent="1"/>
    </xf>
    <xf numFmtId="38" fontId="16" fillId="4" borderId="12" xfId="1" applyFont="1" applyFill="1" applyBorder="1" applyAlignment="1" applyProtection="1">
      <alignment horizontal="right" vertical="center" indent="1"/>
    </xf>
    <xf numFmtId="38" fontId="10" fillId="4" borderId="11" xfId="1" applyFont="1" applyFill="1" applyBorder="1" applyAlignment="1" applyProtection="1">
      <alignment horizontal="right" vertical="center" indent="1"/>
    </xf>
    <xf numFmtId="38" fontId="10" fillId="4" borderId="45" xfId="1" applyFont="1" applyFill="1" applyBorder="1" applyAlignment="1" applyProtection="1">
      <alignment horizontal="right" vertical="center" indent="1"/>
    </xf>
    <xf numFmtId="38" fontId="10" fillId="4" borderId="12" xfId="1" applyFont="1" applyFill="1" applyBorder="1" applyAlignment="1" applyProtection="1">
      <alignment horizontal="right" vertical="center" indent="1"/>
    </xf>
    <xf numFmtId="40" fontId="5" fillId="4" borderId="11" xfId="1" applyNumberFormat="1" applyFont="1" applyFill="1" applyBorder="1" applyAlignment="1" applyProtection="1">
      <alignment horizontal="right" vertical="center" indent="1"/>
    </xf>
    <xf numFmtId="40" fontId="5" fillId="4" borderId="45" xfId="1" applyNumberFormat="1" applyFont="1" applyFill="1" applyBorder="1" applyAlignment="1" applyProtection="1">
      <alignment horizontal="right" vertical="center" indent="1"/>
    </xf>
    <xf numFmtId="40" fontId="5" fillId="4" borderId="12" xfId="1" applyNumberFormat="1" applyFont="1" applyFill="1" applyBorder="1" applyAlignment="1" applyProtection="1">
      <alignment horizontal="right" vertical="center" indent="1"/>
    </xf>
    <xf numFmtId="38" fontId="5" fillId="4" borderId="11" xfId="1" applyFont="1" applyFill="1" applyBorder="1" applyAlignment="1" applyProtection="1">
      <alignment horizontal="right" vertical="center" wrapText="1" indent="1" shrinkToFit="1"/>
    </xf>
    <xf numFmtId="38" fontId="5" fillId="4" borderId="45" xfId="1" applyFont="1" applyFill="1" applyBorder="1" applyAlignment="1" applyProtection="1">
      <alignment horizontal="right" vertical="center" wrapText="1" indent="1" shrinkToFit="1"/>
    </xf>
    <xf numFmtId="38" fontId="5" fillId="4" borderId="12" xfId="1" applyFont="1" applyFill="1" applyBorder="1" applyAlignment="1" applyProtection="1">
      <alignment horizontal="right" vertical="center" wrapText="1" indent="1" shrinkToFit="1"/>
    </xf>
    <xf numFmtId="38" fontId="5" fillId="4" borderId="11" xfId="1" applyFont="1" applyFill="1" applyBorder="1" applyAlignment="1" applyProtection="1">
      <alignment horizontal="right" vertical="center" indent="1"/>
    </xf>
    <xf numFmtId="38" fontId="5" fillId="4" borderId="45" xfId="1" applyFont="1" applyFill="1" applyBorder="1" applyAlignment="1" applyProtection="1">
      <alignment horizontal="right" vertical="center" indent="1"/>
    </xf>
    <xf numFmtId="38" fontId="5" fillId="4" borderId="12" xfId="1" applyFont="1" applyFill="1" applyBorder="1" applyAlignment="1" applyProtection="1">
      <alignment horizontal="right" vertical="center" indent="1"/>
    </xf>
    <xf numFmtId="0" fontId="5" fillId="5" borderId="11" xfId="0" applyFont="1" applyFill="1" applyBorder="1" applyAlignment="1" applyProtection="1">
      <alignment horizontal="center" vertical="center" shrinkToFit="1"/>
      <protection locked="0"/>
    </xf>
    <xf numFmtId="0" fontId="5" fillId="5" borderId="12" xfId="0" applyFont="1" applyFill="1" applyBorder="1" applyAlignment="1" applyProtection="1">
      <alignment horizontal="center" vertical="center" shrinkToFit="1"/>
      <protection locked="0"/>
    </xf>
    <xf numFmtId="0" fontId="4" fillId="4" borderId="11" xfId="0" applyFont="1" applyFill="1" applyBorder="1" applyAlignment="1">
      <alignment horizontal="left" vertical="center" indent="1"/>
    </xf>
    <xf numFmtId="0" fontId="4" fillId="4" borderId="12" xfId="0" applyFont="1" applyFill="1" applyBorder="1" applyAlignment="1">
      <alignment horizontal="left" vertical="center" inden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178" fontId="5" fillId="4" borderId="11" xfId="1" applyNumberFormat="1" applyFont="1" applyFill="1" applyBorder="1" applyAlignment="1" applyProtection="1">
      <alignment vertical="center"/>
    </xf>
    <xf numFmtId="178" fontId="5" fillId="4" borderId="12" xfId="1" applyNumberFormat="1" applyFont="1" applyFill="1" applyBorder="1" applyAlignment="1" applyProtection="1">
      <alignment vertical="center"/>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8" fillId="4" borderId="47" xfId="0" applyFont="1" applyFill="1" applyBorder="1" applyAlignment="1">
      <alignment horizontal="right" vertical="center"/>
    </xf>
    <xf numFmtId="0" fontId="18" fillId="4" borderId="10" xfId="0" applyFont="1" applyFill="1" applyBorder="1">
      <alignment vertical="center"/>
    </xf>
    <xf numFmtId="0" fontId="25" fillId="4" borderId="0" xfId="0" applyFont="1" applyFill="1" applyAlignment="1">
      <alignment horizontal="right" vertical="top" wrapText="1" indent="3"/>
    </xf>
    <xf numFmtId="0" fontId="22" fillId="2" borderId="0" xfId="0" applyFont="1" applyFill="1" applyAlignment="1">
      <alignment horizontal="justify" vertical="center" wrapText="1"/>
    </xf>
    <xf numFmtId="38" fontId="5" fillId="5" borderId="11" xfId="1" applyFont="1" applyFill="1" applyBorder="1" applyAlignment="1" applyProtection="1">
      <alignment vertical="center"/>
      <protection locked="0"/>
    </xf>
    <xf numFmtId="38" fontId="5" fillId="5" borderId="12" xfId="1" applyFont="1" applyFill="1" applyBorder="1" applyAlignment="1" applyProtection="1">
      <alignment vertical="center"/>
      <protection locked="0"/>
    </xf>
    <xf numFmtId="0" fontId="5" fillId="4" borderId="40"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11" xfId="0" applyFont="1" applyFill="1" applyBorder="1" applyAlignment="1">
      <alignment horizontal="distributed" vertical="center" indent="2"/>
    </xf>
    <xf numFmtId="0" fontId="5" fillId="4" borderId="12" xfId="0" applyFont="1" applyFill="1" applyBorder="1" applyAlignment="1">
      <alignment horizontal="distributed" vertical="center" indent="2"/>
    </xf>
    <xf numFmtId="0" fontId="10" fillId="4" borderId="10" xfId="0" applyFont="1" applyFill="1" applyBorder="1">
      <alignment vertical="center"/>
    </xf>
    <xf numFmtId="0" fontId="5" fillId="4" borderId="23" xfId="0" applyFont="1" applyFill="1" applyBorder="1" applyAlignment="1">
      <alignment horizontal="distributed" vertical="center" indent="2"/>
    </xf>
    <xf numFmtId="0" fontId="5" fillId="4" borderId="25" xfId="0" applyFont="1" applyFill="1" applyBorder="1" applyAlignment="1">
      <alignment horizontal="distributed" vertical="center" indent="2"/>
    </xf>
    <xf numFmtId="38" fontId="5" fillId="4" borderId="11" xfId="1" applyFont="1" applyFill="1" applyBorder="1" applyAlignment="1" applyProtection="1">
      <alignment vertical="center"/>
    </xf>
    <xf numFmtId="38" fontId="5" fillId="4" borderId="12" xfId="1" applyFont="1" applyFill="1" applyBorder="1" applyAlignment="1" applyProtection="1">
      <alignment vertical="center"/>
    </xf>
    <xf numFmtId="0" fontId="4" fillId="4" borderId="11"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5" fillId="4" borderId="0" xfId="0" applyFont="1" applyFill="1" applyAlignment="1">
      <alignment horizontal="center" vertical="center"/>
    </xf>
    <xf numFmtId="10" fontId="0" fillId="0" borderId="1" xfId="2" applyNumberFormat="1" applyFont="1" applyBorder="1" applyAlignment="1">
      <alignment horizontal="center" vertical="center"/>
    </xf>
    <xf numFmtId="38" fontId="11" fillId="6" borderId="1" xfId="1" applyFont="1" applyFill="1" applyBorder="1" applyAlignment="1">
      <alignment vertical="center"/>
    </xf>
    <xf numFmtId="38" fontId="11" fillId="7" borderId="1" xfId="1" applyFont="1" applyFill="1" applyBorder="1" applyAlignment="1">
      <alignment vertical="center"/>
    </xf>
    <xf numFmtId="38" fontId="11" fillId="6" borderId="16" xfId="1" applyFont="1" applyFill="1" applyBorder="1" applyAlignment="1">
      <alignment vertical="center"/>
    </xf>
    <xf numFmtId="38" fontId="11" fillId="6" borderId="24" xfId="1" applyFont="1" applyFill="1" applyBorder="1" applyAlignment="1">
      <alignment vertical="center"/>
    </xf>
    <xf numFmtId="38" fontId="11" fillId="6" borderId="17" xfId="1" applyFont="1" applyFill="1" applyBorder="1" applyAlignment="1">
      <alignment vertical="center"/>
    </xf>
    <xf numFmtId="38" fontId="11" fillId="7" borderId="16" xfId="1" applyFont="1" applyFill="1" applyBorder="1" applyAlignment="1">
      <alignment vertical="center"/>
    </xf>
    <xf numFmtId="38" fontId="11" fillId="7" borderId="24" xfId="1" applyFont="1" applyFill="1" applyBorder="1" applyAlignment="1">
      <alignment vertical="center"/>
    </xf>
    <xf numFmtId="38" fontId="11" fillId="7" borderId="17" xfId="1" applyFont="1" applyFill="1" applyBorder="1" applyAlignment="1">
      <alignment vertical="center"/>
    </xf>
    <xf numFmtId="38" fontId="11" fillId="0" borderId="16" xfId="1" applyFont="1" applyFill="1" applyBorder="1" applyAlignment="1">
      <alignment vertical="center"/>
    </xf>
    <xf numFmtId="38" fontId="11" fillId="0" borderId="24" xfId="1" applyFont="1" applyFill="1" applyBorder="1" applyAlignment="1">
      <alignment vertical="center"/>
    </xf>
    <xf numFmtId="38" fontId="11" fillId="0" borderId="17" xfId="1" applyFont="1" applyFill="1" applyBorder="1" applyAlignment="1">
      <alignment vertical="center"/>
    </xf>
    <xf numFmtId="38" fontId="11" fillId="0" borderId="18" xfId="1" applyFont="1" applyFill="1" applyBorder="1" applyAlignment="1">
      <alignment vertical="center"/>
    </xf>
    <xf numFmtId="38" fontId="11" fillId="0" borderId="20" xfId="1" applyFont="1" applyFill="1" applyBorder="1" applyAlignment="1">
      <alignment vertical="center"/>
    </xf>
    <xf numFmtId="38" fontId="11" fillId="0" borderId="19" xfId="1" applyFont="1" applyFill="1" applyBorder="1" applyAlignment="1">
      <alignment vertical="center"/>
    </xf>
    <xf numFmtId="38" fontId="11" fillId="6" borderId="21" xfId="1" applyFont="1" applyFill="1" applyBorder="1" applyAlignment="1">
      <alignment vertical="center"/>
    </xf>
    <xf numFmtId="38" fontId="11" fillId="7" borderId="21" xfId="1" applyFont="1" applyFill="1" applyBorder="1" applyAlignment="1">
      <alignment vertical="center"/>
    </xf>
    <xf numFmtId="0" fontId="11" fillId="0" borderId="19" xfId="0" applyFont="1" applyBorder="1" applyAlignment="1">
      <alignment horizontal="center" vertical="center" shrinkToFit="1"/>
    </xf>
    <xf numFmtId="0" fontId="11" fillId="0" borderId="10" xfId="0" applyFont="1" applyBorder="1" applyAlignment="1">
      <alignment horizontal="center" vertical="center" shrinkToFit="1"/>
    </xf>
    <xf numFmtId="38" fontId="11" fillId="0" borderId="29" xfId="1" applyFont="1" applyFill="1" applyBorder="1" applyAlignment="1">
      <alignment vertical="center"/>
    </xf>
  </cellXfs>
  <cellStyles count="3">
    <cellStyle name="パーセント" xfId="2" builtinId="5"/>
    <cellStyle name="桁区切り" xfId="1" builtinId="6"/>
    <cellStyle name="標準" xfId="0" builtinId="0"/>
  </cellStyles>
  <dxfs count="1">
    <dxf>
      <fill>
        <patternFill>
          <bgColor rgb="FF99FFCC"/>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treemap" uniqueId="{FD299113-6948-43B9-A446-987DAD92033B}">
          <cx:dataPt idx="0">
            <cx:spPr>
              <a:solidFill>
                <a:sysClr val="window" lastClr="FFFFFF">
                  <a:lumMod val="75000"/>
                </a:sysClr>
              </a:solidFill>
            </cx:spPr>
          </cx:dataPt>
          <cx:dataPt idx="1">
            <cx:spPr>
              <a:solidFill>
                <a:srgbClr val="FFC000"/>
              </a:solidFill>
            </cx:spPr>
          </cx:dataPt>
          <cx:dataPt idx="2">
            <cx:spPr>
              <a:solidFill>
                <a:srgbClr val="00B0F0"/>
              </a:solidFill>
            </cx:spPr>
          </cx:dataPt>
          <cx:dataLabels>
            <cx:numFmt formatCode="¥#,##0;[赤]¥-#,##0" sourceLinked="0"/>
            <cx:txPr>
              <a:bodyPr spcFirstLastPara="1" vertOverflow="ellipsis" horzOverflow="overflow" wrap="square" lIns="0" tIns="0" rIns="0" bIns="0" anchor="ctr" anchorCtr="1"/>
              <a:lstStyle/>
              <a:p>
                <a:pPr algn="ctr" rtl="0">
                  <a:defRPr sz="1400">
                    <a:noFill/>
                    <a:latin typeface="HG丸ｺﾞｼｯｸM-PRO" panose="020F0600000000000000" pitchFamily="50" charset="-128"/>
                    <a:ea typeface="HG丸ｺﾞｼｯｸM-PRO" panose="020F0600000000000000" pitchFamily="50" charset="-128"/>
                    <a:cs typeface="HG丸ｺﾞｼｯｸM-PRO" panose="020F0600000000000000" pitchFamily="50" charset="-128"/>
                  </a:defRPr>
                </a:pPr>
                <a:endParaRPr lang="ja-JP" altLang="en-US" sz="1400" b="0" i="0" u="none" strike="noStrike" baseline="0">
                  <a:noFill/>
                  <a:latin typeface="HG丸ｺﾞｼｯｸM-PRO" panose="020F0600000000000000" pitchFamily="50" charset="-128"/>
                  <a:ea typeface="HG丸ｺﾞｼｯｸM-PRO" panose="020F0600000000000000" pitchFamily="50" charset="-128"/>
                </a:endParaRPr>
              </a:p>
            </cx:txPr>
            <cx:visibility seriesName="0" categoryName="1" value="1"/>
            <cx:separator>
</cx:separator>
            <cx:dataLabel idx="0">
              <cx:numFmt formatCode="¥#,##0;[赤]¥-#,##0" sourceLinked="0"/>
              <cx:txPr>
                <a:bodyPr spcFirstLastPara="1" vertOverflow="ellipsis" horzOverflow="overflow" wrap="square" lIns="0" tIns="0" rIns="0" bIns="0" anchor="ctr" anchorCtr="1"/>
                <a:lstStyle/>
                <a:p>
                  <a:pPr algn="ctr" rtl="0">
                    <a:defRPr sz="1600"/>
                  </a:pPr>
                  <a:r>
                    <a:rPr lang="ja-JP" altLang="en-US" sz="1600" b="0" i="0" u="none" strike="noStrike" baseline="0">
                      <a:solidFill>
                        <a:schemeClr val="tx1"/>
                      </a:solidFill>
                      <a:latin typeface="HG丸ｺﾞｼｯｸM-PRO" panose="020F0600000000000000" pitchFamily="50" charset="-128"/>
                      <a:ea typeface="HG丸ｺﾞｼｯｸM-PRO" panose="020F0600000000000000" pitchFamily="50" charset="-128"/>
                    </a:rPr>
                    <a:t>貸与料
¥1,755,000</a:t>
                  </a:r>
                </a:p>
              </cx:txPr>
              <cx:visibility seriesName="0" categoryName="1" value="1"/>
              <cx:separator>
</cx:separator>
            </cx:dataLabel>
            <cx:dataLabel idx="1">
              <cx:numFmt formatCode="¥#,##0;[赤]¥-#,##0" sourceLinked="0"/>
              <cx:txPr>
                <a:bodyPr spcFirstLastPara="1" vertOverflow="ellipsis" horzOverflow="overflow" wrap="square" lIns="0" tIns="0" rIns="0" bIns="0" anchor="ctr" anchorCtr="1"/>
                <a:lstStyle/>
                <a:p>
                  <a:pPr algn="ctr" rtl="0">
                    <a:defRPr>
                      <a:ln>
                        <a:noFill/>
                      </a:ln>
                      <a:solidFill>
                        <a:srgbClr val="FF0000"/>
                      </a:solidFill>
                    </a:defRPr>
                  </a:pPr>
                  <a:r>
                    <a:rPr lang="ja-JP" altLang="en-US" sz="1600" b="0" i="0" u="none" strike="noStrike" baseline="0">
                      <a:ln>
                        <a:noFill/>
                      </a:ln>
                      <a:solidFill>
                        <a:srgbClr val="FF0000"/>
                      </a:solidFill>
                      <a:latin typeface="HG丸ｺﾞｼｯｸM-PRO" panose="020F0600000000000000" pitchFamily="50" charset="-128"/>
                      <a:ea typeface="HG丸ｺﾞｼｯｸM-PRO" panose="020F0600000000000000" pitchFamily="50" charset="-128"/>
                    </a:rPr>
                    <a:t>利子補給
¥794,000</a:t>
                  </a:r>
                </a:p>
              </cx:txPr>
              <cx:visibility seriesName="0" categoryName="1" value="1"/>
              <cx:separator>
</cx:separator>
            </cx:dataLabel>
            <cx:dataLabelHidden idx="2"/>
          </cx:dataLabels>
          <cx:dataId val="0"/>
          <cx:layoutPr>
            <cx:parentLabelLayout val="none"/>
          </cx:layoutPr>
        </cx:series>
      </cx:plotAreaRegion>
    </cx:plotArea>
  </cx:chart>
  <cx:spPr>
    <a:noFill/>
    <a:ln>
      <a:no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1394470</xdr:colOff>
      <xdr:row>27</xdr:row>
      <xdr:rowOff>258016</xdr:rowOff>
    </xdr:from>
    <xdr:to>
      <xdr:col>12</xdr:col>
      <xdr:colOff>291300</xdr:colOff>
      <xdr:row>29</xdr:row>
      <xdr:rowOff>2</xdr:rowOff>
    </xdr:to>
    <xdr:pic>
      <xdr:nvPicPr>
        <xdr:cNvPr id="11" name="図 10">
          <a:extLst>
            <a:ext uri="{FF2B5EF4-FFF2-40B4-BE49-F238E27FC236}">
              <a16:creationId xmlns:a16="http://schemas.microsoft.com/office/drawing/2014/main" id="{6811DB29-E710-D18B-0F94-27D577BF51AB}"/>
            </a:ext>
          </a:extLst>
        </xdr:cNvPr>
        <xdr:cNvPicPr>
          <a:picLocks noChangeAspect="1"/>
        </xdr:cNvPicPr>
      </xdr:nvPicPr>
      <xdr:blipFill>
        <a:blip xmlns:r="http://schemas.openxmlformats.org/officeDocument/2006/relationships" r:embed="rId1"/>
        <a:stretch>
          <a:fillRect/>
        </a:stretch>
      </xdr:blipFill>
      <xdr:spPr>
        <a:xfrm>
          <a:off x="9712970" y="8206099"/>
          <a:ext cx="636730" cy="503985"/>
        </a:xfrm>
        <a:prstGeom prst="rect">
          <a:avLst/>
        </a:prstGeom>
      </xdr:spPr>
    </xdr:pic>
    <xdr:clientData/>
  </xdr:twoCellAnchor>
  <xdr:twoCellAnchor>
    <xdr:from>
      <xdr:col>12</xdr:col>
      <xdr:colOff>211667</xdr:colOff>
      <xdr:row>27</xdr:row>
      <xdr:rowOff>148167</xdr:rowOff>
    </xdr:from>
    <xdr:to>
      <xdr:col>16</xdr:col>
      <xdr:colOff>144388</xdr:colOff>
      <xdr:row>30</xdr:row>
      <xdr:rowOff>0</xdr:rowOff>
    </xdr:to>
    <xdr:sp macro="" textlink="">
      <xdr:nvSpPr>
        <xdr:cNvPr id="12" name="テキスト ボックス 11">
          <a:extLst>
            <a:ext uri="{FF2B5EF4-FFF2-40B4-BE49-F238E27FC236}">
              <a16:creationId xmlns:a16="http://schemas.microsoft.com/office/drawing/2014/main" id="{374C691C-1645-0353-D774-F67F6B7F5696}"/>
            </a:ext>
          </a:extLst>
        </xdr:cNvPr>
        <xdr:cNvSpPr txBox="1"/>
      </xdr:nvSpPr>
      <xdr:spPr>
        <a:xfrm>
          <a:off x="10456334" y="8096250"/>
          <a:ext cx="2737304"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丸ｺﾞｼｯｸM-PRO" panose="020F0600000000000000" pitchFamily="50" charset="-128"/>
              <a:ea typeface="HG丸ｺﾞｼｯｸM-PRO" panose="020F0600000000000000" pitchFamily="50" charset="-128"/>
            </a:rPr>
            <a:t>一般社団法人石川県鉄工機電協会</a:t>
          </a:r>
          <a:endParaRPr kumimoji="1" lang="en-US" altLang="ja-JP" sz="1200" b="1">
            <a:latin typeface="HG丸ｺﾞｼｯｸM-PRO" panose="020F0600000000000000" pitchFamily="50" charset="-128"/>
            <a:ea typeface="HG丸ｺﾞｼｯｸM-PRO" panose="020F0600000000000000" pitchFamily="50" charset="-128"/>
          </a:endParaRPr>
        </a:p>
        <a:p>
          <a:pPr algn="ctr"/>
          <a:r>
            <a:rPr kumimoji="1" lang="ja-JP" altLang="en-US" sz="1200" b="1" baseline="0">
              <a:latin typeface="HG丸ｺﾞｼｯｸM-PRO" panose="020F0600000000000000" pitchFamily="50" charset="-128"/>
              <a:ea typeface="HG丸ｺﾞｼｯｸM-PRO" panose="020F0600000000000000" pitchFamily="50" charset="-128"/>
            </a:rPr>
            <a:t> </a:t>
          </a:r>
          <a:r>
            <a:rPr kumimoji="1" lang="ja-JP" altLang="en-US" sz="1200" b="1">
              <a:latin typeface="HG丸ｺﾞｼｯｸM-PRO" panose="020F0600000000000000" pitchFamily="50" charset="-128"/>
              <a:ea typeface="HG丸ｺﾞｼｯｸM-PRO" panose="020F0600000000000000" pitchFamily="50" charset="-128"/>
            </a:rPr>
            <a:t>（担当：経営支援室　大友）</a:t>
          </a:r>
          <a:endParaRPr kumimoji="1" lang="en-US" altLang="ja-JP" sz="1200" b="1">
            <a:latin typeface="HG丸ｺﾞｼｯｸM-PRO" panose="020F0600000000000000" pitchFamily="50" charset="-128"/>
            <a:ea typeface="HG丸ｺﾞｼｯｸM-PRO" panose="020F0600000000000000" pitchFamily="50" charset="-128"/>
          </a:endParaRPr>
        </a:p>
        <a:p>
          <a:r>
            <a:rPr kumimoji="1" lang="ja-JP" altLang="en-US" sz="1200" b="1">
              <a:latin typeface="HG丸ｺﾞｼｯｸM-PRO" panose="020F0600000000000000" pitchFamily="50" charset="-128"/>
              <a:ea typeface="HG丸ｺﾞｼｯｸM-PRO" panose="020F0600000000000000" pitchFamily="50" charset="-128"/>
            </a:rPr>
            <a:t>ＴＥＬ：</a:t>
          </a:r>
          <a:r>
            <a:rPr kumimoji="1" lang="en-US" altLang="ja-JP" sz="1200" b="1">
              <a:latin typeface="HG丸ｺﾞｼｯｸM-PRO" panose="020F0600000000000000" pitchFamily="50" charset="-128"/>
              <a:ea typeface="HG丸ｺﾞｼｯｸM-PRO" panose="020F0600000000000000" pitchFamily="50" charset="-128"/>
            </a:rPr>
            <a:t>076 - 268 - 0121</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158991</xdr:colOff>
      <xdr:row>16</xdr:row>
      <xdr:rowOff>61697</xdr:rowOff>
    </xdr:from>
    <xdr:to>
      <xdr:col>10</xdr:col>
      <xdr:colOff>1136505</xdr:colOff>
      <xdr:row>27</xdr:row>
      <xdr:rowOff>29224</xdr:rowOff>
    </xdr:to>
    <mc:AlternateContent xmlns:mc="http://schemas.openxmlformats.org/markup-compatibility/2006">
      <mc:Choice xmlns:cx1="http://schemas.microsoft.com/office/drawing/2015/9/8/chartex" Requires="cx1">
        <xdr:graphicFrame macro="">
          <xdr:nvGraphicFramePr>
            <xdr:cNvPr id="4" name="グラフ 3">
              <a:extLst>
                <a:ext uri="{FF2B5EF4-FFF2-40B4-BE49-F238E27FC236}">
                  <a16:creationId xmlns:a16="http://schemas.microsoft.com/office/drawing/2014/main" id="{4FA387DD-E811-4B3A-9CB1-AA8AC19D77A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378691" y="4471772"/>
              <a:ext cx="4015989" cy="3758477"/>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twoCellAnchor>
    <xdr:from>
      <xdr:col>9</xdr:col>
      <xdr:colOff>516181</xdr:colOff>
      <xdr:row>27</xdr:row>
      <xdr:rowOff>30715</xdr:rowOff>
    </xdr:from>
    <xdr:to>
      <xdr:col>9</xdr:col>
      <xdr:colOff>889002</xdr:colOff>
      <xdr:row>27</xdr:row>
      <xdr:rowOff>258016</xdr:rowOff>
    </xdr:to>
    <xdr:sp macro="" textlink="">
      <xdr:nvSpPr>
        <xdr:cNvPr id="7" name="二等辺三角形 6">
          <a:extLst>
            <a:ext uri="{FF2B5EF4-FFF2-40B4-BE49-F238E27FC236}">
              <a16:creationId xmlns:a16="http://schemas.microsoft.com/office/drawing/2014/main" id="{CF1E6876-41B3-EC76-D517-DFBC8A063AD0}"/>
            </a:ext>
          </a:extLst>
        </xdr:cNvPr>
        <xdr:cNvSpPr/>
      </xdr:nvSpPr>
      <xdr:spPr>
        <a:xfrm>
          <a:off x="5744107" y="8246028"/>
          <a:ext cx="372821" cy="227301"/>
        </a:xfrm>
        <a:prstGeom prst="triangle">
          <a:avLst/>
        </a:prstGeom>
        <a:solidFill>
          <a:schemeClr val="bg1">
            <a:lumMod val="85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176429</xdr:colOff>
      <xdr:row>27</xdr:row>
      <xdr:rowOff>148167</xdr:rowOff>
    </xdr:from>
    <xdr:to>
      <xdr:col>9</xdr:col>
      <xdr:colOff>2088033</xdr:colOff>
      <xdr:row>29</xdr:row>
      <xdr:rowOff>0</xdr:rowOff>
    </xdr:to>
    <xdr:sp macro="" textlink="">
      <xdr:nvSpPr>
        <xdr:cNvPr id="5" name="四角形: 角を丸くする 4">
          <a:extLst>
            <a:ext uri="{FF2B5EF4-FFF2-40B4-BE49-F238E27FC236}">
              <a16:creationId xmlns:a16="http://schemas.microsoft.com/office/drawing/2014/main" id="{5D242FD6-F936-21A6-D3BF-0E7923DF5232}"/>
            </a:ext>
          </a:extLst>
        </xdr:cNvPr>
        <xdr:cNvSpPr/>
      </xdr:nvSpPr>
      <xdr:spPr>
        <a:xfrm>
          <a:off x="5046085" y="8375386"/>
          <a:ext cx="2268792" cy="613833"/>
        </a:xfrm>
        <a:prstGeom prst="roundRect">
          <a:avLst>
            <a:gd name="adj" fmla="val 8751"/>
          </a:avLst>
        </a:prstGeom>
        <a:solidFill>
          <a:schemeClr val="bg1">
            <a:lumMod val="85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200">
              <a:latin typeface="HG丸ｺﾞｼｯｸM-PRO" panose="020F0600000000000000" pitchFamily="50" charset="-128"/>
              <a:ea typeface="HG丸ｺﾞｼｯｸM-PRO" panose="020F0600000000000000" pitchFamily="50" charset="-128"/>
            </a:rPr>
            <a:t>毎月お支払いいただく</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ja-JP" altLang="en-US" sz="1200">
              <a:latin typeface="HG丸ｺﾞｼｯｸM-PRO" panose="020F0600000000000000" pitchFamily="50" charset="-128"/>
              <a:ea typeface="HG丸ｺﾞｼｯｸM-PRO" panose="020F0600000000000000" pitchFamily="50" charset="-128"/>
            </a:rPr>
            <a:t>貸与料の合計金額（７年間）</a:t>
          </a:r>
        </a:p>
      </xdr:txBody>
    </xdr:sp>
    <xdr:clientData/>
  </xdr:twoCellAnchor>
  <xdr:twoCellAnchor>
    <xdr:from>
      <xdr:col>10</xdr:col>
      <xdr:colOff>1103525</xdr:colOff>
      <xdr:row>17</xdr:row>
      <xdr:rowOff>6015</xdr:rowOff>
    </xdr:from>
    <xdr:to>
      <xdr:col>11</xdr:col>
      <xdr:colOff>183497</xdr:colOff>
      <xdr:row>18</xdr:row>
      <xdr:rowOff>0</xdr:rowOff>
    </xdr:to>
    <xdr:sp macro="" textlink="">
      <xdr:nvSpPr>
        <xdr:cNvPr id="8" name="二等辺三角形 7">
          <a:extLst>
            <a:ext uri="{FF2B5EF4-FFF2-40B4-BE49-F238E27FC236}">
              <a16:creationId xmlns:a16="http://schemas.microsoft.com/office/drawing/2014/main" id="{93069EA8-A10E-B69F-DF27-B6E62258F548}"/>
            </a:ext>
          </a:extLst>
        </xdr:cNvPr>
        <xdr:cNvSpPr/>
      </xdr:nvSpPr>
      <xdr:spPr>
        <a:xfrm rot="16200000">
          <a:off x="9300197" y="4895394"/>
          <a:ext cx="372821" cy="227301"/>
        </a:xfrm>
        <a:prstGeom prst="triangle">
          <a:avLst/>
        </a:prstGeom>
        <a:solidFill>
          <a:srgbClr val="FFC000"/>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98860</xdr:colOff>
      <xdr:row>17</xdr:row>
      <xdr:rowOff>0</xdr:rowOff>
    </xdr:from>
    <xdr:to>
      <xdr:col>14</xdr:col>
      <xdr:colOff>193729</xdr:colOff>
      <xdr:row>18</xdr:row>
      <xdr:rowOff>230667</xdr:rowOff>
    </xdr:to>
    <xdr:sp macro="" textlink="">
      <xdr:nvSpPr>
        <xdr:cNvPr id="9" name="四角形: 角を丸くする 8">
          <a:extLst>
            <a:ext uri="{FF2B5EF4-FFF2-40B4-BE49-F238E27FC236}">
              <a16:creationId xmlns:a16="http://schemas.microsoft.com/office/drawing/2014/main" id="{F6CC40CE-4720-ED47-956A-2267F9E4FE0D}"/>
            </a:ext>
          </a:extLst>
        </xdr:cNvPr>
        <xdr:cNvSpPr/>
      </xdr:nvSpPr>
      <xdr:spPr>
        <a:xfrm>
          <a:off x="9510852" y="4891653"/>
          <a:ext cx="2920080" cy="618124"/>
        </a:xfrm>
        <a:prstGeom prst="roundRect">
          <a:avLst>
            <a:gd name="adj" fmla="val 8751"/>
          </a:avLst>
        </a:prstGeom>
        <a:solidFill>
          <a:srgbClr val="FFC000"/>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200">
              <a:latin typeface="HG丸ｺﾞｼｯｸM-PRO" panose="020F0600000000000000" pitchFamily="50" charset="-128"/>
              <a:ea typeface="HG丸ｺﾞｼｯｸM-PRO" panose="020F0600000000000000" pitchFamily="50" charset="-128"/>
            </a:rPr>
            <a:t>年度末頃に県や市町から振り込まれる</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ja-JP" altLang="en-US" sz="1200">
              <a:latin typeface="HG丸ｺﾞｼｯｸM-PRO" panose="020F0600000000000000" pitchFamily="50" charset="-128"/>
              <a:ea typeface="HG丸ｺﾞｼｯｸM-PRO" panose="020F0600000000000000" pitchFamily="50" charset="-128"/>
            </a:rPr>
            <a:t>利子補給金の合計金額（７年間）</a:t>
          </a:r>
        </a:p>
      </xdr:txBody>
    </xdr:sp>
    <xdr:clientData/>
  </xdr:twoCellAnchor>
  <xdr:twoCellAnchor>
    <xdr:from>
      <xdr:col>11</xdr:col>
      <xdr:colOff>122672</xdr:colOff>
      <xdr:row>24</xdr:row>
      <xdr:rowOff>71437</xdr:rowOff>
    </xdr:from>
    <xdr:to>
      <xdr:col>14</xdr:col>
      <xdr:colOff>217541</xdr:colOff>
      <xdr:row>26</xdr:row>
      <xdr:rowOff>302102</xdr:rowOff>
    </xdr:to>
    <xdr:sp macro="" textlink="">
      <xdr:nvSpPr>
        <xdr:cNvPr id="6" name="吹き出し: 角を丸めた四角形 5">
          <a:extLst>
            <a:ext uri="{FF2B5EF4-FFF2-40B4-BE49-F238E27FC236}">
              <a16:creationId xmlns:a16="http://schemas.microsoft.com/office/drawing/2014/main" id="{6309A112-B3E2-BE1D-11FA-1E3F1F44AE60}"/>
            </a:ext>
          </a:extLst>
        </xdr:cNvPr>
        <xdr:cNvSpPr/>
      </xdr:nvSpPr>
      <xdr:spPr>
        <a:xfrm>
          <a:off x="9528610" y="7310437"/>
          <a:ext cx="2916650" cy="790259"/>
        </a:xfrm>
        <a:prstGeom prst="wedgeRoundRectCallout">
          <a:avLst>
            <a:gd name="adj1" fmla="val -65328"/>
            <a:gd name="adj2" fmla="val 83912"/>
            <a:gd name="adj3" fmla="val 16667"/>
          </a:avLst>
        </a:prstGeom>
        <a:solidFill>
          <a:srgbClr val="00B0F0"/>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200" b="0">
              <a:solidFill>
                <a:schemeClr val="bg1"/>
              </a:solidFill>
              <a:latin typeface="HG丸ｺﾞｼｯｸM-PRO" panose="020F0600000000000000" pitchFamily="50" charset="-128"/>
              <a:ea typeface="HG丸ｺﾞｼｯｸM-PRO" panose="020F0600000000000000" pitchFamily="50" charset="-128"/>
            </a:rPr>
            <a:t>「実際に支払った利息」から</a:t>
          </a:r>
        </a:p>
        <a:p>
          <a:pPr algn="ctr"/>
          <a:r>
            <a:rPr kumimoji="1" lang="ja-JP" altLang="en-US" sz="1200" b="0">
              <a:solidFill>
                <a:schemeClr val="bg1"/>
              </a:solidFill>
              <a:latin typeface="HG丸ｺﾞｼｯｸM-PRO" panose="020F0600000000000000" pitchFamily="50" charset="-128"/>
              <a:ea typeface="HG丸ｺﾞｼｯｸM-PRO" panose="020F0600000000000000" pitchFamily="50" charset="-128"/>
            </a:rPr>
            <a:t>「後日戻ってくる利息分」を引いた</a:t>
          </a:r>
        </a:p>
        <a:p>
          <a:pPr algn="ctr"/>
          <a:r>
            <a:rPr kumimoji="1" lang="ja-JP" altLang="en-US" sz="1200" b="0" u="sng">
              <a:solidFill>
                <a:schemeClr val="bg1"/>
              </a:solidFill>
              <a:latin typeface="HG丸ｺﾞｼｯｸM-PRO" panose="020F0600000000000000" pitchFamily="50" charset="-128"/>
              <a:ea typeface="HG丸ｺﾞｼｯｸM-PRO" panose="020F0600000000000000" pitchFamily="50" charset="-128"/>
            </a:rPr>
            <a:t>「実際に負担することになる利息分」</a:t>
          </a:r>
          <a:endParaRPr kumimoji="1" lang="en-US" altLang="ja-JP" sz="1200" b="0" u="sng">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C046-A2A2-4839-8EFF-EB865F4AE5F7}">
  <sheetPr>
    <tabColor rgb="FFFF0000"/>
    <pageSetUpPr fitToPage="1"/>
  </sheetPr>
  <dimension ref="A1:Q44"/>
  <sheetViews>
    <sheetView showGridLines="0" tabSelected="1" view="pageBreakPreview" zoomScale="90" zoomScaleNormal="80" zoomScaleSheetLayoutView="90" workbookViewId="0">
      <selection activeCell="E8" sqref="E8:F8"/>
    </sheetView>
  </sheetViews>
  <sheetFormatPr defaultRowHeight="13.5" x14ac:dyDescent="0.4"/>
  <cols>
    <col min="1" max="1" width="2.625" style="34" customWidth="1"/>
    <col min="2" max="3" width="4.625" style="43" customWidth="1"/>
    <col min="4" max="4" width="17.25" style="43" customWidth="1"/>
    <col min="5" max="5" width="11" style="43" customWidth="1"/>
    <col min="6" max="6" width="14.75" style="43" customWidth="1"/>
    <col min="7" max="7" width="4.375" style="43" customWidth="1"/>
    <col min="8" max="9" width="4.625" style="43" customWidth="1"/>
    <col min="10" max="10" width="39.875" style="43" customWidth="1"/>
    <col min="11" max="11" width="15" style="43" customWidth="1"/>
    <col min="12" max="12" width="4.625" style="43" customWidth="1"/>
    <col min="13" max="13" width="19" style="43" customWidth="1"/>
    <col min="14" max="14" width="13.25" style="43" customWidth="1"/>
    <col min="15" max="15" width="4.625" style="43" customWidth="1"/>
    <col min="16" max="16" width="1.625" style="43" customWidth="1"/>
    <col min="17" max="17" width="2.625" style="34" customWidth="1"/>
    <col min="18" max="16384" width="9" style="43"/>
  </cols>
  <sheetData>
    <row r="1" spans="1:17" s="34" customFormat="1" ht="9.9499999999999993" customHeight="1" thickBot="1" x14ac:dyDescent="0.45">
      <c r="B1" s="35"/>
      <c r="C1" s="35"/>
      <c r="D1" s="35"/>
      <c r="E1" s="35"/>
      <c r="F1" s="35"/>
      <c r="G1" s="35"/>
      <c r="H1" s="35"/>
      <c r="I1" s="35"/>
      <c r="J1" s="35"/>
      <c r="K1" s="35"/>
      <c r="L1" s="35"/>
      <c r="M1" s="35"/>
      <c r="N1" s="35"/>
      <c r="O1" s="35"/>
    </row>
    <row r="2" spans="1:17" ht="18" customHeight="1" thickTop="1" x14ac:dyDescent="0.4">
      <c r="A2" s="36"/>
      <c r="B2" s="37"/>
      <c r="C2" s="84" t="s">
        <v>0</v>
      </c>
      <c r="D2" s="84"/>
      <c r="E2" s="84"/>
      <c r="F2" s="84"/>
      <c r="G2" s="84"/>
      <c r="H2" s="84"/>
      <c r="I2" s="84"/>
      <c r="J2" s="38"/>
      <c r="K2" s="38"/>
      <c r="L2" s="38"/>
      <c r="M2" s="38"/>
      <c r="N2" s="39"/>
      <c r="O2" s="40" t="s">
        <v>80</v>
      </c>
      <c r="P2" s="41"/>
      <c r="Q2" s="42"/>
    </row>
    <row r="3" spans="1:17" ht="25.5" customHeight="1" x14ac:dyDescent="0.4">
      <c r="B3" s="44"/>
      <c r="C3" s="85"/>
      <c r="D3" s="85"/>
      <c r="E3" s="85"/>
      <c r="F3" s="85"/>
      <c r="G3" s="85"/>
      <c r="H3" s="85"/>
      <c r="I3" s="85"/>
      <c r="K3" s="127" t="s">
        <v>72</v>
      </c>
      <c r="L3" s="127"/>
      <c r="M3" s="127"/>
      <c r="N3" s="127"/>
      <c r="O3" s="127"/>
      <c r="P3" s="45"/>
    </row>
    <row r="4" spans="1:17" ht="9" customHeight="1" x14ac:dyDescent="0.4">
      <c r="B4" s="44"/>
      <c r="C4" s="85"/>
      <c r="D4" s="85"/>
      <c r="E4" s="85"/>
      <c r="F4" s="85"/>
      <c r="G4" s="85"/>
      <c r="H4" s="85"/>
      <c r="I4" s="85"/>
      <c r="K4" s="127"/>
      <c r="L4" s="127"/>
      <c r="M4" s="127"/>
      <c r="N4" s="127"/>
      <c r="O4" s="127"/>
      <c r="P4" s="45"/>
    </row>
    <row r="5" spans="1:17" ht="17.25" customHeight="1" x14ac:dyDescent="0.4">
      <c r="B5" s="44"/>
      <c r="C5" s="86" t="s">
        <v>79</v>
      </c>
      <c r="D5" s="86"/>
      <c r="E5" s="86"/>
      <c r="F5" s="86"/>
      <c r="G5" s="86"/>
      <c r="H5" s="86"/>
      <c r="I5" s="86"/>
      <c r="J5" s="86"/>
      <c r="K5" s="127"/>
      <c r="L5" s="127"/>
      <c r="M5" s="127"/>
      <c r="N5" s="127"/>
      <c r="O5" s="127"/>
      <c r="P5" s="45"/>
    </row>
    <row r="6" spans="1:17" ht="9" customHeight="1" x14ac:dyDescent="0.4">
      <c r="B6" s="44"/>
      <c r="K6" s="127"/>
      <c r="L6" s="127"/>
      <c r="M6" s="127"/>
      <c r="N6" s="127"/>
      <c r="O6" s="127"/>
      <c r="P6" s="45"/>
    </row>
    <row r="7" spans="1:17" ht="21.75" customHeight="1" x14ac:dyDescent="0.4">
      <c r="B7" s="44"/>
      <c r="C7" s="134" t="s">
        <v>81</v>
      </c>
      <c r="D7" s="134"/>
      <c r="E7" s="134"/>
      <c r="F7" s="134"/>
      <c r="I7" s="134" t="s">
        <v>68</v>
      </c>
      <c r="J7" s="134"/>
      <c r="P7" s="45"/>
    </row>
    <row r="8" spans="1:17" ht="30" customHeight="1" x14ac:dyDescent="0.4">
      <c r="B8" s="44"/>
      <c r="C8" s="139" t="s">
        <v>69</v>
      </c>
      <c r="D8" s="140"/>
      <c r="E8" s="128"/>
      <c r="F8" s="129"/>
      <c r="G8" s="47" t="s">
        <v>29</v>
      </c>
      <c r="I8" s="48" t="s">
        <v>32</v>
      </c>
      <c r="J8" s="49" t="s">
        <v>30</v>
      </c>
      <c r="K8" s="32" t="s">
        <v>78</v>
      </c>
      <c r="P8" s="45"/>
    </row>
    <row r="9" spans="1:17" ht="30" customHeight="1" x14ac:dyDescent="0.4">
      <c r="B9" s="44"/>
      <c r="C9" s="139" t="s">
        <v>77</v>
      </c>
      <c r="D9" s="140"/>
      <c r="E9" s="137" t="str">
        <f>IF(E8="","",IF(E8&lt;=60000000,0,E8-60000000))</f>
        <v/>
      </c>
      <c r="F9" s="138"/>
      <c r="G9" s="47" t="s">
        <v>29</v>
      </c>
      <c r="I9" s="48" t="s">
        <v>33</v>
      </c>
      <c r="J9" s="49" t="s">
        <v>31</v>
      </c>
      <c r="K9" s="32" t="s">
        <v>78</v>
      </c>
      <c r="P9" s="45"/>
    </row>
    <row r="10" spans="1:17" ht="30" customHeight="1" x14ac:dyDescent="0.4">
      <c r="B10" s="44"/>
      <c r="C10" s="139" t="s">
        <v>66</v>
      </c>
      <c r="D10" s="140"/>
      <c r="E10" s="128"/>
      <c r="F10" s="129"/>
      <c r="G10" s="47" t="s">
        <v>29</v>
      </c>
      <c r="I10" s="50" t="s">
        <v>34</v>
      </c>
      <c r="J10" s="51" t="s">
        <v>37</v>
      </c>
      <c r="K10" s="33"/>
      <c r="M10" s="46" t="str">
        <f>IF(OR(E13="",E13="プルダウンから選択"),"《 市(町) 　利子補給 》",CONCATENATE("《 ",$E$13,"　利子補給 》"))</f>
        <v>《 市(町) 　利子補給 》</v>
      </c>
      <c r="N10" s="47"/>
      <c r="P10" s="45"/>
    </row>
    <row r="11" spans="1:17" ht="30" customHeight="1" thickBot="1" x14ac:dyDescent="0.45">
      <c r="B11" s="44"/>
      <c r="C11" s="139" t="s">
        <v>76</v>
      </c>
      <c r="D11" s="140"/>
      <c r="E11" s="120" t="str">
        <f>IF(E8="","",E8-E9-E10)</f>
        <v/>
      </c>
      <c r="F11" s="121"/>
      <c r="G11" s="47" t="s">
        <v>29</v>
      </c>
      <c r="I11" s="50" t="s">
        <v>35</v>
      </c>
      <c r="J11" s="51" t="s">
        <v>70</v>
      </c>
      <c r="K11" s="52" t="str">
        <f>IF(OR($E$13="",$E$13="プルダウンから選択"),"自動判定",IF(VLOOKUP($E$13,市町データ!$B:$F,5,0)="○","はい","いいえ"))</f>
        <v>自動判定</v>
      </c>
      <c r="M11" s="53" t="s">
        <v>36</v>
      </c>
      <c r="N11" s="54" t="str">
        <f>IF(OR($E$13="",$E$13="プルダウンから選択"),"",VLOOKUP($E$13,市町データ!$B:$F,4,0))</f>
        <v/>
      </c>
      <c r="P11" s="45"/>
    </row>
    <row r="12" spans="1:17" ht="30" customHeight="1" thickBot="1" x14ac:dyDescent="0.45">
      <c r="B12" s="44"/>
      <c r="C12" s="116" t="s">
        <v>63</v>
      </c>
      <c r="D12" s="117"/>
      <c r="E12" s="118" t="str">
        <f>IF($E$8="","","新品")</f>
        <v/>
      </c>
      <c r="F12" s="119"/>
      <c r="G12" s="47"/>
      <c r="I12" s="122" t="s">
        <v>71</v>
      </c>
      <c r="J12" s="123"/>
      <c r="K12" s="55" t="str">
        <f>IF(K11="自動判定","",IF(AND($K$9="はい",$K$10="はい"),"エラー",IF(COUNTIF($K$8:$K$11,"はい")=3,0.0075,IF(COUNTIF($K$8:$K$11,"はい")=2,0.005,IF(COUNTIF($K$8:$K$11,"はい")=1,0.0025,IF(COUNTIF($K$8:$K$11,"はい")=0,0))))))</f>
        <v/>
      </c>
      <c r="M12" s="56" t="s">
        <v>3</v>
      </c>
      <c r="N12" s="57" t="str">
        <f>IF(OR($E$13="",$E$13="プルダウンから選択"),"",VLOOKUP($E$13,市町データ!$B:$F,3,0))</f>
        <v/>
      </c>
      <c r="P12" s="45"/>
    </row>
    <row r="13" spans="1:17" ht="30" customHeight="1" x14ac:dyDescent="0.4">
      <c r="B13" s="44"/>
      <c r="C13" s="116" t="s">
        <v>67</v>
      </c>
      <c r="D13" s="117"/>
      <c r="E13" s="114" t="s">
        <v>65</v>
      </c>
      <c r="F13" s="115"/>
      <c r="G13" s="47"/>
      <c r="I13" s="124" t="str">
        <f>IF(K10="はい","※Q3について、暫定的に利子補給対象として計算しております。","")</f>
        <v/>
      </c>
      <c r="J13" s="124"/>
      <c r="K13" s="124"/>
      <c r="P13" s="45"/>
    </row>
    <row r="14" spans="1:17" ht="13.5" customHeight="1" thickBot="1" x14ac:dyDescent="0.45">
      <c r="B14" s="58"/>
      <c r="C14" s="59"/>
      <c r="D14" s="59"/>
      <c r="E14" s="59"/>
      <c r="F14" s="60"/>
      <c r="G14" s="59"/>
      <c r="H14" s="59"/>
      <c r="I14" s="59"/>
      <c r="J14" s="59"/>
      <c r="K14" s="59"/>
      <c r="L14" s="59"/>
      <c r="M14" s="59"/>
      <c r="N14" s="59"/>
      <c r="O14" s="59"/>
      <c r="P14" s="61"/>
    </row>
    <row r="15" spans="1:17" ht="13.5" customHeight="1" x14ac:dyDescent="0.4">
      <c r="B15" s="62"/>
      <c r="Q15" s="42"/>
    </row>
    <row r="16" spans="1:17" ht="30" customHeight="1" x14ac:dyDescent="0.4">
      <c r="B16" s="44"/>
      <c r="C16" s="125" t="s">
        <v>39</v>
      </c>
      <c r="D16" s="125"/>
      <c r="E16" s="125"/>
      <c r="F16" s="125"/>
      <c r="G16" s="125"/>
      <c r="P16" s="45"/>
    </row>
    <row r="17" spans="2:16" ht="30" customHeight="1" x14ac:dyDescent="0.4">
      <c r="B17" s="44"/>
      <c r="C17" s="83" t="s">
        <v>41</v>
      </c>
      <c r="D17" s="83"/>
      <c r="E17" s="111" t="str">
        <f>IF(E18="","",ROUNDUP($E$11/$E$18,-3))</f>
        <v/>
      </c>
      <c r="F17" s="112"/>
      <c r="G17" s="113"/>
      <c r="H17" s="47" t="s">
        <v>29</v>
      </c>
      <c r="P17" s="45"/>
    </row>
    <row r="18" spans="2:16" ht="30" customHeight="1" x14ac:dyDescent="0.4">
      <c r="B18" s="44"/>
      <c r="C18" s="83" t="s">
        <v>38</v>
      </c>
      <c r="D18" s="83"/>
      <c r="E18" s="108" t="str">
        <f>IF(E8="","","72")</f>
        <v/>
      </c>
      <c r="F18" s="109"/>
      <c r="G18" s="110"/>
      <c r="H18" s="63" t="s">
        <v>42</v>
      </c>
      <c r="P18" s="45"/>
    </row>
    <row r="19" spans="2:16" ht="30" customHeight="1" x14ac:dyDescent="0.4">
      <c r="B19" s="44"/>
      <c r="C19" s="83" t="s">
        <v>2</v>
      </c>
      <c r="D19" s="83"/>
      <c r="E19" s="105" t="str">
        <f>IF(OR(E13="",E13="プルダウンから選択"),"",VLOOKUP($E$13,市町データ!$B:$G,2,0))</f>
        <v/>
      </c>
      <c r="F19" s="106"/>
      <c r="G19" s="107"/>
      <c r="H19" s="47" t="s">
        <v>60</v>
      </c>
      <c r="P19" s="45"/>
    </row>
    <row r="20" spans="2:16" ht="30" customHeight="1" x14ac:dyDescent="0.4">
      <c r="B20" s="44"/>
      <c r="C20" s="83" t="s">
        <v>53</v>
      </c>
      <c r="D20" s="83"/>
      <c r="E20" s="102" t="str">
        <f>IF($E$13="","",IFERROR(ROUND(計画表!$E$88,-3),""))</f>
        <v/>
      </c>
      <c r="F20" s="103"/>
      <c r="G20" s="104"/>
      <c r="H20" s="47" t="s">
        <v>29</v>
      </c>
      <c r="P20" s="45"/>
    </row>
    <row r="21" spans="2:16" ht="14.25" customHeight="1" x14ac:dyDescent="0.4">
      <c r="B21" s="44"/>
      <c r="C21" s="141"/>
      <c r="D21" s="141"/>
      <c r="E21" s="64"/>
      <c r="F21" s="64"/>
      <c r="P21" s="45"/>
    </row>
    <row r="22" spans="2:16" ht="30" customHeight="1" x14ac:dyDescent="0.4">
      <c r="B22" s="44"/>
      <c r="C22" s="65" t="s">
        <v>50</v>
      </c>
      <c r="P22" s="45"/>
    </row>
    <row r="23" spans="2:16" ht="30" customHeight="1" x14ac:dyDescent="0.2">
      <c r="B23" s="44"/>
      <c r="C23" s="132" t="s">
        <v>40</v>
      </c>
      <c r="D23" s="133"/>
      <c r="E23" s="99" t="str">
        <f>IF($E$13="","",IFERROR(計画表!$H$88,""))</f>
        <v/>
      </c>
      <c r="F23" s="100"/>
      <c r="G23" s="101"/>
      <c r="H23" s="66" t="s">
        <v>29</v>
      </c>
      <c r="M23" s="67"/>
      <c r="P23" s="45"/>
    </row>
    <row r="24" spans="2:16" ht="30" customHeight="1" thickBot="1" x14ac:dyDescent="0.25">
      <c r="B24" s="44"/>
      <c r="C24" s="135" t="str">
        <f>IF(OR(E13="",E13="プルダウンから選択"),"市(町)",E13)</f>
        <v>市(町)</v>
      </c>
      <c r="D24" s="136"/>
      <c r="E24" s="96" t="str">
        <f>IF($E$13="","",IFERROR(計画表!$I$88,""))</f>
        <v/>
      </c>
      <c r="F24" s="97"/>
      <c r="G24" s="98"/>
      <c r="H24" s="66" t="s">
        <v>29</v>
      </c>
      <c r="M24" s="67"/>
      <c r="P24" s="45"/>
    </row>
    <row r="25" spans="2:16" ht="30" customHeight="1" thickTop="1" x14ac:dyDescent="0.4">
      <c r="B25" s="44"/>
      <c r="C25" s="130" t="s">
        <v>54</v>
      </c>
      <c r="D25" s="131"/>
      <c r="E25" s="93" t="str">
        <f>IF($E$23="","",SUM($E$23:$G$24))</f>
        <v/>
      </c>
      <c r="F25" s="94"/>
      <c r="G25" s="95"/>
      <c r="H25" s="66" t="s">
        <v>29</v>
      </c>
      <c r="M25" s="68"/>
      <c r="P25" s="45"/>
    </row>
    <row r="26" spans="2:16" ht="14.25" customHeight="1" thickBot="1" x14ac:dyDescent="0.2">
      <c r="B26" s="44"/>
      <c r="C26" s="69"/>
      <c r="P26" s="45"/>
    </row>
    <row r="27" spans="2:16" ht="30" customHeight="1" x14ac:dyDescent="0.4">
      <c r="B27" s="44"/>
      <c r="C27" s="77" t="s">
        <v>64</v>
      </c>
      <c r="D27" s="78"/>
      <c r="E27" s="70" t="s">
        <v>58</v>
      </c>
      <c r="F27" s="91" t="str">
        <f>IFERROR(E20-E25,"")</f>
        <v/>
      </c>
      <c r="G27" s="92"/>
      <c r="H27" s="47" t="s">
        <v>29</v>
      </c>
      <c r="P27" s="45"/>
    </row>
    <row r="28" spans="2:16" ht="30" customHeight="1" x14ac:dyDescent="0.4">
      <c r="B28" s="44"/>
      <c r="C28" s="79"/>
      <c r="D28" s="80"/>
      <c r="E28" s="71" t="s">
        <v>62</v>
      </c>
      <c r="F28" s="89" t="str">
        <f>IFERROR(ROUND(F27/7,-3),"")</f>
        <v/>
      </c>
      <c r="G28" s="90"/>
      <c r="H28" s="47" t="s">
        <v>29</v>
      </c>
      <c r="J28" s="126" t="str">
        <f>IF(F27="","",CONCATENATE("実質負担額",CHAR(10),"\",FIXED(計画表!H92,0)))</f>
        <v/>
      </c>
      <c r="K28" s="126"/>
      <c r="P28" s="45"/>
    </row>
    <row r="29" spans="2:16" ht="30" customHeight="1" thickBot="1" x14ac:dyDescent="0.45">
      <c r="B29" s="44"/>
      <c r="C29" s="81"/>
      <c r="D29" s="82"/>
      <c r="E29" s="72" t="s">
        <v>59</v>
      </c>
      <c r="F29" s="87" t="str">
        <f>IFERROR(F27/0.55/7/E11*100,"")</f>
        <v/>
      </c>
      <c r="G29" s="88"/>
      <c r="H29" s="47" t="s">
        <v>60</v>
      </c>
      <c r="J29" s="126"/>
      <c r="K29" s="126"/>
      <c r="P29" s="45"/>
    </row>
    <row r="30" spans="2:16" ht="13.5" customHeight="1" thickBot="1" x14ac:dyDescent="0.45">
      <c r="B30" s="73"/>
      <c r="C30" s="74"/>
      <c r="D30" s="74"/>
      <c r="E30" s="74"/>
      <c r="F30" s="74"/>
      <c r="G30" s="74"/>
      <c r="H30" s="74"/>
      <c r="I30" s="74"/>
      <c r="J30" s="74"/>
      <c r="K30" s="74"/>
      <c r="L30" s="74"/>
      <c r="M30" s="74"/>
      <c r="N30" s="74"/>
      <c r="O30" s="74"/>
      <c r="P30" s="75"/>
    </row>
    <row r="31" spans="2:16" s="34" customFormat="1" ht="9.9499999999999993" customHeight="1" thickTop="1" x14ac:dyDescent="0.4"/>
    <row r="44" spans="12:12" x14ac:dyDescent="0.4">
      <c r="L44" s="76"/>
    </row>
  </sheetData>
  <sheetProtection algorithmName="SHA-512" hashValue="QlrPtFerwdWpWfvmyfv2A1GllUMBzpEZGkUFmGR7TdYdCkcKNgfkS+0TeD+JbIKQeoYA9UMX9reOQzTAP0QXlA==" saltValue="wy36D/efm/Ax+0TCSp3j/Q==" spinCount="100000" sheet="1" objects="1" scenarios="1" selectLockedCells="1"/>
  <mergeCells count="40">
    <mergeCell ref="J28:K29"/>
    <mergeCell ref="K3:O6"/>
    <mergeCell ref="C17:D17"/>
    <mergeCell ref="E10:F10"/>
    <mergeCell ref="C25:D25"/>
    <mergeCell ref="C23:D23"/>
    <mergeCell ref="I7:J7"/>
    <mergeCell ref="C24:D24"/>
    <mergeCell ref="C7:F7"/>
    <mergeCell ref="E9:F9"/>
    <mergeCell ref="C9:D9"/>
    <mergeCell ref="E8:F8"/>
    <mergeCell ref="C21:D21"/>
    <mergeCell ref="C8:D8"/>
    <mergeCell ref="C10:D10"/>
    <mergeCell ref="C11:D11"/>
    <mergeCell ref="E12:F12"/>
    <mergeCell ref="E11:F11"/>
    <mergeCell ref="C19:D19"/>
    <mergeCell ref="I12:J12"/>
    <mergeCell ref="I13:K13"/>
    <mergeCell ref="C13:D13"/>
    <mergeCell ref="C18:D18"/>
    <mergeCell ref="C16:G16"/>
    <mergeCell ref="C27:D29"/>
    <mergeCell ref="C20:D20"/>
    <mergeCell ref="C2:I4"/>
    <mergeCell ref="C5:J5"/>
    <mergeCell ref="F29:G29"/>
    <mergeCell ref="F28:G28"/>
    <mergeCell ref="F27:G27"/>
    <mergeCell ref="E25:G25"/>
    <mergeCell ref="E24:G24"/>
    <mergeCell ref="E23:G23"/>
    <mergeCell ref="E20:G20"/>
    <mergeCell ref="E19:G19"/>
    <mergeCell ref="E18:G18"/>
    <mergeCell ref="E17:G17"/>
    <mergeCell ref="E13:F13"/>
    <mergeCell ref="C12:D12"/>
  </mergeCells>
  <phoneticPr fontId="2"/>
  <conditionalFormatting sqref="K10">
    <cfRule type="expression" dxfId="0" priority="2">
      <formula>OR($K$9="はい",$K$9="プルダウンから選択")</formula>
    </cfRule>
  </conditionalFormatting>
  <dataValidations count="5">
    <dataValidation operator="lessThanOrEqual" allowBlank="1" showInputMessage="1" showErrorMessage="1" errorTitle="上限額オーバー" error="延払貸与制度で申込できる上限金額は【6,000万円】です。" sqref="E11:F11" xr:uid="{1750437C-293C-48C0-88E2-2C393CDF99A5}"/>
    <dataValidation type="list" allowBlank="1" showInputMessage="1" showErrorMessage="1" sqref="K10" xr:uid="{BD3A7C1C-A0A6-45F7-8173-E0D666A636E0}">
      <formula1>"はい,いいえ"</formula1>
    </dataValidation>
    <dataValidation type="whole" errorStyle="information" operator="lessThanOrEqual" allowBlank="1" showInputMessage="1" showErrorMessage="1" errorTitle="貸与限度額　超過" error="貸与限度額である【6,000万円】を超えています。_x000a_超過した額について、頭金の納入が必要です。" sqref="E8:E9" xr:uid="{AB7C3DA3-A12C-4F56-9B1C-108178385C92}">
      <formula1>60000000</formula1>
    </dataValidation>
    <dataValidation type="list" allowBlank="1" showInputMessage="1" showErrorMessage="1" sqref="K8:K9" xr:uid="{7BFFE09E-053B-47D3-B371-0D2CB623F542}">
      <formula1>"プルダウンから選択,はい,いいえ"</formula1>
    </dataValidation>
    <dataValidation type="whole" allowBlank="1" showInputMessage="1" showErrorMessage="1" errorTitle="頭金設定範囲外" error="頭金は、機械設備価格の【0～50％】の範囲内で設定してください。" sqref="E10" xr:uid="{C199B3C7-0B8D-49CC-8F3C-87A4A99F1513}">
      <formula1>0</formula1>
      <formula2>E8*0.5</formula2>
    </dataValidation>
  </dataValidations>
  <printOptions horizontalCentered="1" verticalCentered="1"/>
  <pageMargins left="0.31496062992125984" right="0.31496062992125984" top="0.31496062992125984" bottom="0.31496062992125984" header="0.31496062992125984" footer="0.31496062992125984"/>
  <pageSetup paperSize="9" scale="76" fitToHeight="0" orientation="landscape" r:id="rId1"/>
  <ignoredErrors>
    <ignoredError sqref="E9"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A4D89DD-D1AB-47DE-9597-27B47A9109A2}">
          <x14:formula1>
            <xm:f>市町データ!$B$3:$B$22</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76CC-2462-49F5-91FC-3F98FAD5608B}">
  <dimension ref="A1:L92"/>
  <sheetViews>
    <sheetView showGridLines="0" workbookViewId="0">
      <selection activeCell="J18" sqref="J18"/>
    </sheetView>
  </sheetViews>
  <sheetFormatPr defaultRowHeight="18.75" x14ac:dyDescent="0.4"/>
  <cols>
    <col min="1" max="1" width="2.125" style="7" customWidth="1"/>
    <col min="2" max="2" width="10.625" style="7" customWidth="1"/>
    <col min="3" max="9" width="14.375" style="7" customWidth="1"/>
    <col min="10" max="10" width="15.875" style="7" customWidth="1"/>
  </cols>
  <sheetData>
    <row r="1" spans="2:12" ht="10.5" customHeight="1" x14ac:dyDescent="0.4"/>
    <row r="2" spans="2:12" ht="18.75" customHeight="1" x14ac:dyDescent="0.4">
      <c r="B2" s="13" t="s">
        <v>43</v>
      </c>
      <c r="C2" s="14">
        <f>VLOOKUP(シミュレーション!$E$13,市町データ!$B:$F,2,0)/100</f>
        <v>0</v>
      </c>
      <c r="G2" s="13" t="s">
        <v>51</v>
      </c>
      <c r="H2" s="23" t="str">
        <f>シミュレーション!K12</f>
        <v/>
      </c>
      <c r="I2" s="14" t="str">
        <f>シミュレーション!N12</f>
        <v/>
      </c>
      <c r="J2" s="13">
        <f>(VLOOKUP($I$4,市町データ!$B:$G,6,0))</f>
        <v>0</v>
      </c>
    </row>
    <row r="3" spans="2:12" ht="10.5" customHeight="1" x14ac:dyDescent="0.4"/>
    <row r="4" spans="2:12" ht="28.5" x14ac:dyDescent="0.4">
      <c r="B4" s="8" t="s">
        <v>44</v>
      </c>
      <c r="C4" s="10" t="s">
        <v>45</v>
      </c>
      <c r="D4" s="10" t="s">
        <v>46</v>
      </c>
      <c r="E4" s="10" t="s">
        <v>47</v>
      </c>
      <c r="F4" s="10" t="s">
        <v>48</v>
      </c>
      <c r="G4" s="27" t="s">
        <v>55</v>
      </c>
      <c r="H4" s="24" t="s">
        <v>40</v>
      </c>
      <c r="I4" s="20" t="str">
        <f>シミュレーション!$E$13</f>
        <v>プルダウンから選択</v>
      </c>
      <c r="J4" s="26"/>
      <c r="K4" s="20" t="s">
        <v>40</v>
      </c>
      <c r="L4" s="20" t="str">
        <f>シミュレーション!$E$13</f>
        <v>プルダウンから選択</v>
      </c>
    </row>
    <row r="5" spans="2:12" x14ac:dyDescent="0.4">
      <c r="B5" s="9">
        <v>1</v>
      </c>
      <c r="C5" s="12">
        <v>36641</v>
      </c>
      <c r="D5" s="11">
        <v>0</v>
      </c>
      <c r="E5" s="11" t="e">
        <f t="shared" ref="E5:E13" si="0">IF($F6=0,ROUNDDOWN(($C6-$C5+1)/365*$F5*$C$2,0),ROUNDDOWN(($C6-$C5)/365*$F5*$C$2,0))</f>
        <v>#VALUE!</v>
      </c>
      <c r="F5" s="11" t="str">
        <f>シミュレーション!$E$11</f>
        <v/>
      </c>
      <c r="G5" s="151" t="e">
        <f>SUM(E5:E15)</f>
        <v>#VALUE!</v>
      </c>
      <c r="H5" s="145" t="e">
        <f>IF($C$2&gt;SUM($H$2,$I$2),ROUNDDOWN(G5*$H$2/$C$2,-3),ROUNDDOWN(G5*($C$2-$I$2)/$C$2,-3))</f>
        <v>#VALUE!</v>
      </c>
      <c r="I5" s="148" t="e">
        <f>ROUNDDOWN(G5*$I$2/$C$2,-3)</f>
        <v>#VALUE!</v>
      </c>
      <c r="J5" s="28"/>
      <c r="K5" s="142" t="e">
        <f>H5/ROUNDDOWN(G5,-3)*$C$2</f>
        <v>#VALUE!</v>
      </c>
      <c r="L5" s="142" t="e">
        <f>I5/ROUNDDOWN(G5,-3)*$C$2</f>
        <v>#VALUE!</v>
      </c>
    </row>
    <row r="6" spans="2:12" x14ac:dyDescent="0.4">
      <c r="B6" s="9">
        <v>2</v>
      </c>
      <c r="C6" s="12">
        <v>36678</v>
      </c>
      <c r="D6" s="11">
        <v>0</v>
      </c>
      <c r="E6" s="11">
        <f t="shared" si="0"/>
        <v>0</v>
      </c>
      <c r="F6" s="11">
        <f t="shared" ref="F6:F37" si="1">IFERROR(F5-D6,0)</f>
        <v>0</v>
      </c>
      <c r="G6" s="152"/>
      <c r="H6" s="146"/>
      <c r="I6" s="149"/>
      <c r="J6" s="28"/>
      <c r="K6" s="142"/>
      <c r="L6" s="142"/>
    </row>
    <row r="7" spans="2:12" x14ac:dyDescent="0.4">
      <c r="B7" s="9">
        <v>3</v>
      </c>
      <c r="C7" s="12">
        <f t="shared" ref="C7:C71" si="2">IF(C6="","",EDATE(C6,1))</f>
        <v>36708</v>
      </c>
      <c r="D7" s="11">
        <v>0</v>
      </c>
      <c r="E7" s="11">
        <f t="shared" si="0"/>
        <v>0</v>
      </c>
      <c r="F7" s="11">
        <f t="shared" si="1"/>
        <v>0</v>
      </c>
      <c r="G7" s="152"/>
      <c r="H7" s="146"/>
      <c r="I7" s="149"/>
      <c r="J7" s="28"/>
      <c r="K7" s="142"/>
      <c r="L7" s="142"/>
    </row>
    <row r="8" spans="2:12" x14ac:dyDescent="0.4">
      <c r="B8" s="9">
        <v>4</v>
      </c>
      <c r="C8" s="12">
        <f t="shared" si="2"/>
        <v>36739</v>
      </c>
      <c r="D8" s="11">
        <v>0</v>
      </c>
      <c r="E8" s="11">
        <f t="shared" si="0"/>
        <v>0</v>
      </c>
      <c r="F8" s="11">
        <f t="shared" si="1"/>
        <v>0</v>
      </c>
      <c r="G8" s="152"/>
      <c r="H8" s="146"/>
      <c r="I8" s="149"/>
      <c r="J8" s="28"/>
      <c r="K8" s="142"/>
      <c r="L8" s="142"/>
    </row>
    <row r="9" spans="2:12" x14ac:dyDescent="0.4">
      <c r="B9" s="9">
        <v>5</v>
      </c>
      <c r="C9" s="12">
        <f t="shared" si="2"/>
        <v>36770</v>
      </c>
      <c r="D9" s="11">
        <v>0</v>
      </c>
      <c r="E9" s="11">
        <f t="shared" si="0"/>
        <v>0</v>
      </c>
      <c r="F9" s="11">
        <f t="shared" si="1"/>
        <v>0</v>
      </c>
      <c r="G9" s="152"/>
      <c r="H9" s="146"/>
      <c r="I9" s="149"/>
      <c r="J9" s="28"/>
      <c r="K9" s="142"/>
      <c r="L9" s="142"/>
    </row>
    <row r="10" spans="2:12" x14ac:dyDescent="0.4">
      <c r="B10" s="9">
        <v>6</v>
      </c>
      <c r="C10" s="12">
        <f t="shared" si="2"/>
        <v>36800</v>
      </c>
      <c r="D10" s="11">
        <v>0</v>
      </c>
      <c r="E10" s="11">
        <f t="shared" si="0"/>
        <v>0</v>
      </c>
      <c r="F10" s="11">
        <f t="shared" si="1"/>
        <v>0</v>
      </c>
      <c r="G10" s="152"/>
      <c r="H10" s="146"/>
      <c r="I10" s="149"/>
      <c r="J10" s="28"/>
      <c r="K10" s="142"/>
      <c r="L10" s="142"/>
    </row>
    <row r="11" spans="2:12" x14ac:dyDescent="0.4">
      <c r="B11" s="9">
        <v>7</v>
      </c>
      <c r="C11" s="12">
        <f t="shared" si="2"/>
        <v>36831</v>
      </c>
      <c r="D11" s="11">
        <v>0</v>
      </c>
      <c r="E11" s="11">
        <f t="shared" si="0"/>
        <v>0</v>
      </c>
      <c r="F11" s="11">
        <f t="shared" si="1"/>
        <v>0</v>
      </c>
      <c r="G11" s="152"/>
      <c r="H11" s="146"/>
      <c r="I11" s="149"/>
      <c r="J11" s="28"/>
      <c r="K11" s="142"/>
      <c r="L11" s="142"/>
    </row>
    <row r="12" spans="2:12" x14ac:dyDescent="0.4">
      <c r="B12" s="9">
        <v>8</v>
      </c>
      <c r="C12" s="12">
        <f t="shared" si="2"/>
        <v>36861</v>
      </c>
      <c r="D12" s="11">
        <v>0</v>
      </c>
      <c r="E12" s="11">
        <f t="shared" si="0"/>
        <v>0</v>
      </c>
      <c r="F12" s="11">
        <f t="shared" si="1"/>
        <v>0</v>
      </c>
      <c r="G12" s="152"/>
      <c r="H12" s="146"/>
      <c r="I12" s="149"/>
      <c r="J12" s="28"/>
      <c r="K12" s="142"/>
      <c r="L12" s="142"/>
    </row>
    <row r="13" spans="2:12" x14ac:dyDescent="0.4">
      <c r="B13" s="9">
        <v>9</v>
      </c>
      <c r="C13" s="12">
        <f t="shared" si="2"/>
        <v>36892</v>
      </c>
      <c r="D13" s="11">
        <v>0</v>
      </c>
      <c r="E13" s="11">
        <f t="shared" si="0"/>
        <v>0</v>
      </c>
      <c r="F13" s="11">
        <f t="shared" si="1"/>
        <v>0</v>
      </c>
      <c r="G13" s="152"/>
      <c r="H13" s="146"/>
      <c r="I13" s="149"/>
      <c r="J13" s="28"/>
      <c r="K13" s="142"/>
      <c r="L13" s="142"/>
    </row>
    <row r="14" spans="2:12" x14ac:dyDescent="0.4">
      <c r="B14" s="9">
        <v>10</v>
      </c>
      <c r="C14" s="12">
        <f t="shared" si="2"/>
        <v>36923</v>
      </c>
      <c r="D14" s="11">
        <v>0</v>
      </c>
      <c r="E14" s="11">
        <f t="shared" ref="E14:E45" si="3">IF($C14="","",IF(F15=0,ROUNDDOWN((C15-C14+1)/365*F14*$C$2,0),ROUNDDOWN((C15-C14)/365*F14*$C$2,0)))</f>
        <v>0</v>
      </c>
      <c r="F14" s="11">
        <f t="shared" si="1"/>
        <v>0</v>
      </c>
      <c r="G14" s="152"/>
      <c r="H14" s="146"/>
      <c r="I14" s="149"/>
      <c r="J14" s="28"/>
      <c r="K14" s="142"/>
      <c r="L14" s="142"/>
    </row>
    <row r="15" spans="2:12" x14ac:dyDescent="0.4">
      <c r="B15" s="9">
        <v>11</v>
      </c>
      <c r="C15" s="12">
        <f t="shared" si="2"/>
        <v>36951</v>
      </c>
      <c r="D15" s="11">
        <v>0</v>
      </c>
      <c r="E15" s="11">
        <f t="shared" si="3"/>
        <v>0</v>
      </c>
      <c r="F15" s="11">
        <f t="shared" si="1"/>
        <v>0</v>
      </c>
      <c r="G15" s="153"/>
      <c r="H15" s="147"/>
      <c r="I15" s="150"/>
      <c r="J15" s="28"/>
      <c r="K15" s="142"/>
      <c r="L15" s="142"/>
    </row>
    <row r="16" spans="2:12" x14ac:dyDescent="0.4">
      <c r="B16" s="9">
        <v>12</v>
      </c>
      <c r="C16" s="12">
        <f t="shared" si="2"/>
        <v>36982</v>
      </c>
      <c r="D16" s="11" t="str">
        <f>シミュレーション!$E$17</f>
        <v/>
      </c>
      <c r="E16" s="11">
        <f t="shared" si="3"/>
        <v>0</v>
      </c>
      <c r="F16" s="11">
        <f t="shared" si="1"/>
        <v>0</v>
      </c>
      <c r="G16" s="154">
        <f>SUM(E16:E27)</f>
        <v>0</v>
      </c>
      <c r="H16" s="143" t="e">
        <f>IF($C$2&gt;SUM($H$2,$I$2),ROUNDDOWN(G16*$H$2/$C$2,-3),ROUNDDOWN(G16*($C$2-$I$2)/$C$2,-3))</f>
        <v>#VALUE!</v>
      </c>
      <c r="I16" s="144" t="e">
        <f>ROUNDDOWN(G16*$I$2/$C$2,-3)</f>
        <v>#VALUE!</v>
      </c>
      <c r="J16" s="28"/>
      <c r="K16" s="142" t="e">
        <f>H16/ROUNDDOWN(G16,-3)*$C$2</f>
        <v>#VALUE!</v>
      </c>
      <c r="L16" s="142" t="e">
        <f>I16/ROUNDDOWN(G16,-3)*$C$2</f>
        <v>#VALUE!</v>
      </c>
    </row>
    <row r="17" spans="2:12" x14ac:dyDescent="0.4">
      <c r="B17" s="9">
        <v>13</v>
      </c>
      <c r="C17" s="12">
        <f t="shared" si="2"/>
        <v>37012</v>
      </c>
      <c r="D17" s="11" t="str">
        <f>シミュレーション!$E$17</f>
        <v/>
      </c>
      <c r="E17" s="11">
        <f t="shared" si="3"/>
        <v>0</v>
      </c>
      <c r="F17" s="11">
        <f t="shared" si="1"/>
        <v>0</v>
      </c>
      <c r="G17" s="155"/>
      <c r="H17" s="143"/>
      <c r="I17" s="144"/>
      <c r="J17" s="28"/>
      <c r="K17" s="142"/>
      <c r="L17" s="142"/>
    </row>
    <row r="18" spans="2:12" x14ac:dyDescent="0.4">
      <c r="B18" s="9">
        <v>14</v>
      </c>
      <c r="C18" s="12">
        <f t="shared" si="2"/>
        <v>37043</v>
      </c>
      <c r="D18" s="11" t="str">
        <f>シミュレーション!$E$17</f>
        <v/>
      </c>
      <c r="E18" s="11">
        <f t="shared" si="3"/>
        <v>0</v>
      </c>
      <c r="F18" s="11">
        <f t="shared" si="1"/>
        <v>0</v>
      </c>
      <c r="G18" s="155"/>
      <c r="H18" s="143"/>
      <c r="I18" s="144"/>
      <c r="J18" s="28"/>
      <c r="K18" s="142"/>
      <c r="L18" s="142"/>
    </row>
    <row r="19" spans="2:12" x14ac:dyDescent="0.4">
      <c r="B19" s="9">
        <v>15</v>
      </c>
      <c r="C19" s="12">
        <f t="shared" si="2"/>
        <v>37073</v>
      </c>
      <c r="D19" s="11" t="str">
        <f>シミュレーション!$E$17</f>
        <v/>
      </c>
      <c r="E19" s="11">
        <f t="shared" si="3"/>
        <v>0</v>
      </c>
      <c r="F19" s="11">
        <f t="shared" si="1"/>
        <v>0</v>
      </c>
      <c r="G19" s="155"/>
      <c r="H19" s="143"/>
      <c r="I19" s="144"/>
      <c r="J19" s="28"/>
      <c r="K19" s="142"/>
      <c r="L19" s="142"/>
    </row>
    <row r="20" spans="2:12" x14ac:dyDescent="0.4">
      <c r="B20" s="9">
        <v>16</v>
      </c>
      <c r="C20" s="12">
        <f t="shared" si="2"/>
        <v>37104</v>
      </c>
      <c r="D20" s="11" t="str">
        <f>シミュレーション!$E$17</f>
        <v/>
      </c>
      <c r="E20" s="11">
        <f t="shared" si="3"/>
        <v>0</v>
      </c>
      <c r="F20" s="11">
        <f t="shared" si="1"/>
        <v>0</v>
      </c>
      <c r="G20" s="155"/>
      <c r="H20" s="143"/>
      <c r="I20" s="144"/>
      <c r="J20" s="28"/>
      <c r="K20" s="142"/>
      <c r="L20" s="142"/>
    </row>
    <row r="21" spans="2:12" x14ac:dyDescent="0.4">
      <c r="B21" s="9">
        <v>17</v>
      </c>
      <c r="C21" s="12">
        <f t="shared" si="2"/>
        <v>37135</v>
      </c>
      <c r="D21" s="11" t="str">
        <f>シミュレーション!$E$17</f>
        <v/>
      </c>
      <c r="E21" s="11">
        <f t="shared" si="3"/>
        <v>0</v>
      </c>
      <c r="F21" s="11">
        <f t="shared" si="1"/>
        <v>0</v>
      </c>
      <c r="G21" s="155"/>
      <c r="H21" s="143"/>
      <c r="I21" s="144"/>
      <c r="J21" s="28"/>
      <c r="K21" s="142"/>
      <c r="L21" s="142"/>
    </row>
    <row r="22" spans="2:12" x14ac:dyDescent="0.4">
      <c r="B22" s="9">
        <v>18</v>
      </c>
      <c r="C22" s="12">
        <f t="shared" si="2"/>
        <v>37165</v>
      </c>
      <c r="D22" s="11" t="str">
        <f>シミュレーション!$E$17</f>
        <v/>
      </c>
      <c r="E22" s="11">
        <f t="shared" si="3"/>
        <v>0</v>
      </c>
      <c r="F22" s="11">
        <f t="shared" si="1"/>
        <v>0</v>
      </c>
      <c r="G22" s="155"/>
      <c r="H22" s="143"/>
      <c r="I22" s="144"/>
      <c r="J22" s="28"/>
      <c r="K22" s="142"/>
      <c r="L22" s="142"/>
    </row>
    <row r="23" spans="2:12" x14ac:dyDescent="0.4">
      <c r="B23" s="9">
        <v>19</v>
      </c>
      <c r="C23" s="12">
        <f t="shared" si="2"/>
        <v>37196</v>
      </c>
      <c r="D23" s="11" t="str">
        <f>シミュレーション!$E$17</f>
        <v/>
      </c>
      <c r="E23" s="11">
        <f t="shared" si="3"/>
        <v>0</v>
      </c>
      <c r="F23" s="11">
        <f t="shared" si="1"/>
        <v>0</v>
      </c>
      <c r="G23" s="155"/>
      <c r="H23" s="143"/>
      <c r="I23" s="144"/>
      <c r="J23" s="28"/>
      <c r="K23" s="142"/>
      <c r="L23" s="142"/>
    </row>
    <row r="24" spans="2:12" x14ac:dyDescent="0.4">
      <c r="B24" s="9">
        <v>20</v>
      </c>
      <c r="C24" s="12">
        <f t="shared" si="2"/>
        <v>37226</v>
      </c>
      <c r="D24" s="11" t="str">
        <f>シミュレーション!$E$17</f>
        <v/>
      </c>
      <c r="E24" s="11">
        <f t="shared" si="3"/>
        <v>0</v>
      </c>
      <c r="F24" s="11">
        <f t="shared" si="1"/>
        <v>0</v>
      </c>
      <c r="G24" s="155"/>
      <c r="H24" s="143"/>
      <c r="I24" s="144"/>
      <c r="J24" s="28"/>
      <c r="K24" s="142"/>
      <c r="L24" s="142"/>
    </row>
    <row r="25" spans="2:12" x14ac:dyDescent="0.4">
      <c r="B25" s="9">
        <v>21</v>
      </c>
      <c r="C25" s="12">
        <f t="shared" si="2"/>
        <v>37257</v>
      </c>
      <c r="D25" s="11" t="str">
        <f>シミュレーション!$E$17</f>
        <v/>
      </c>
      <c r="E25" s="11">
        <f t="shared" si="3"/>
        <v>0</v>
      </c>
      <c r="F25" s="11">
        <f t="shared" si="1"/>
        <v>0</v>
      </c>
      <c r="G25" s="155"/>
      <c r="H25" s="143"/>
      <c r="I25" s="144"/>
      <c r="J25" s="28"/>
      <c r="K25" s="142"/>
      <c r="L25" s="142"/>
    </row>
    <row r="26" spans="2:12" x14ac:dyDescent="0.4">
      <c r="B26" s="9">
        <v>22</v>
      </c>
      <c r="C26" s="12">
        <f t="shared" si="2"/>
        <v>37288</v>
      </c>
      <c r="D26" s="11" t="str">
        <f>シミュレーション!$E$17</f>
        <v/>
      </c>
      <c r="E26" s="11">
        <f t="shared" si="3"/>
        <v>0</v>
      </c>
      <c r="F26" s="11">
        <f t="shared" si="1"/>
        <v>0</v>
      </c>
      <c r="G26" s="155"/>
      <c r="H26" s="143"/>
      <c r="I26" s="144"/>
      <c r="J26" s="28"/>
      <c r="K26" s="142"/>
      <c r="L26" s="142"/>
    </row>
    <row r="27" spans="2:12" x14ac:dyDescent="0.4">
      <c r="B27" s="9">
        <v>23</v>
      </c>
      <c r="C27" s="12">
        <f t="shared" si="2"/>
        <v>37316</v>
      </c>
      <c r="D27" s="11" t="str">
        <f>シミュレーション!$E$17</f>
        <v/>
      </c>
      <c r="E27" s="11">
        <f t="shared" si="3"/>
        <v>0</v>
      </c>
      <c r="F27" s="11">
        <f t="shared" si="1"/>
        <v>0</v>
      </c>
      <c r="G27" s="156"/>
      <c r="H27" s="143"/>
      <c r="I27" s="144"/>
      <c r="J27" s="28"/>
      <c r="K27" s="142"/>
      <c r="L27" s="142"/>
    </row>
    <row r="28" spans="2:12" x14ac:dyDescent="0.4">
      <c r="B28" s="9">
        <v>24</v>
      </c>
      <c r="C28" s="12">
        <f t="shared" si="2"/>
        <v>37347</v>
      </c>
      <c r="D28" s="11" t="str">
        <f>シミュレーション!$E$17</f>
        <v/>
      </c>
      <c r="E28" s="11">
        <f t="shared" si="3"/>
        <v>0</v>
      </c>
      <c r="F28" s="11">
        <f t="shared" si="1"/>
        <v>0</v>
      </c>
      <c r="G28" s="151">
        <f>SUM(E28:E39)</f>
        <v>0</v>
      </c>
      <c r="H28" s="143" t="e">
        <f>IF($C$2&gt;SUM($H$2,$I$2),ROUNDDOWN(G28*$H$2/$C$2,-3),ROUNDDOWN(G28*($C$2-$I$2)/$C$2,-3))</f>
        <v>#VALUE!</v>
      </c>
      <c r="I28" s="144" t="e">
        <f>ROUNDDOWN(G28*$I$2/$C$2,-3)</f>
        <v>#VALUE!</v>
      </c>
      <c r="J28" s="28"/>
      <c r="K28" s="142" t="e">
        <f>H28/ROUNDDOWN(G28,-3)*$C$2</f>
        <v>#VALUE!</v>
      </c>
      <c r="L28" s="142" t="e">
        <f>I28/ROUNDDOWN(G28,-3)*$C$2</f>
        <v>#VALUE!</v>
      </c>
    </row>
    <row r="29" spans="2:12" x14ac:dyDescent="0.4">
      <c r="B29" s="9">
        <v>25</v>
      </c>
      <c r="C29" s="12">
        <f t="shared" si="2"/>
        <v>37377</v>
      </c>
      <c r="D29" s="11" t="str">
        <f>シミュレーション!$E$17</f>
        <v/>
      </c>
      <c r="E29" s="11">
        <f t="shared" si="3"/>
        <v>0</v>
      </c>
      <c r="F29" s="11">
        <f t="shared" si="1"/>
        <v>0</v>
      </c>
      <c r="G29" s="152"/>
      <c r="H29" s="143"/>
      <c r="I29" s="144"/>
      <c r="J29" s="28"/>
      <c r="K29" s="142"/>
      <c r="L29" s="142"/>
    </row>
    <row r="30" spans="2:12" x14ac:dyDescent="0.4">
      <c r="B30" s="9">
        <v>26</v>
      </c>
      <c r="C30" s="12">
        <f t="shared" si="2"/>
        <v>37408</v>
      </c>
      <c r="D30" s="11" t="str">
        <f>シミュレーション!$E$17</f>
        <v/>
      </c>
      <c r="E30" s="11">
        <f t="shared" si="3"/>
        <v>0</v>
      </c>
      <c r="F30" s="11">
        <f t="shared" si="1"/>
        <v>0</v>
      </c>
      <c r="G30" s="152"/>
      <c r="H30" s="143"/>
      <c r="I30" s="144"/>
      <c r="J30" s="28"/>
      <c r="K30" s="142"/>
      <c r="L30" s="142"/>
    </row>
    <row r="31" spans="2:12" x14ac:dyDescent="0.4">
      <c r="B31" s="9">
        <v>27</v>
      </c>
      <c r="C31" s="12">
        <f t="shared" si="2"/>
        <v>37438</v>
      </c>
      <c r="D31" s="11" t="str">
        <f>シミュレーション!$E$17</f>
        <v/>
      </c>
      <c r="E31" s="11">
        <f t="shared" si="3"/>
        <v>0</v>
      </c>
      <c r="F31" s="11">
        <f t="shared" si="1"/>
        <v>0</v>
      </c>
      <c r="G31" s="152"/>
      <c r="H31" s="143"/>
      <c r="I31" s="144"/>
      <c r="J31" s="28"/>
      <c r="K31" s="142"/>
      <c r="L31" s="142"/>
    </row>
    <row r="32" spans="2:12" x14ac:dyDescent="0.4">
      <c r="B32" s="9">
        <v>28</v>
      </c>
      <c r="C32" s="12">
        <f t="shared" si="2"/>
        <v>37469</v>
      </c>
      <c r="D32" s="11" t="str">
        <f>シミュレーション!$E$17</f>
        <v/>
      </c>
      <c r="E32" s="11">
        <f t="shared" si="3"/>
        <v>0</v>
      </c>
      <c r="F32" s="11">
        <f t="shared" si="1"/>
        <v>0</v>
      </c>
      <c r="G32" s="152"/>
      <c r="H32" s="143"/>
      <c r="I32" s="144"/>
      <c r="J32" s="28"/>
      <c r="K32" s="142"/>
      <c r="L32" s="142"/>
    </row>
    <row r="33" spans="2:12" x14ac:dyDescent="0.4">
      <c r="B33" s="9">
        <v>29</v>
      </c>
      <c r="C33" s="12">
        <f t="shared" si="2"/>
        <v>37500</v>
      </c>
      <c r="D33" s="11" t="str">
        <f>シミュレーション!$E$17</f>
        <v/>
      </c>
      <c r="E33" s="11">
        <f t="shared" si="3"/>
        <v>0</v>
      </c>
      <c r="F33" s="11">
        <f t="shared" si="1"/>
        <v>0</v>
      </c>
      <c r="G33" s="152"/>
      <c r="H33" s="143"/>
      <c r="I33" s="144"/>
      <c r="J33" s="28"/>
      <c r="K33" s="142"/>
      <c r="L33" s="142"/>
    </row>
    <row r="34" spans="2:12" x14ac:dyDescent="0.4">
      <c r="B34" s="9">
        <v>30</v>
      </c>
      <c r="C34" s="12">
        <f t="shared" si="2"/>
        <v>37530</v>
      </c>
      <c r="D34" s="11" t="str">
        <f>シミュレーション!$E$17</f>
        <v/>
      </c>
      <c r="E34" s="11">
        <f t="shared" si="3"/>
        <v>0</v>
      </c>
      <c r="F34" s="11">
        <f t="shared" si="1"/>
        <v>0</v>
      </c>
      <c r="G34" s="152"/>
      <c r="H34" s="143"/>
      <c r="I34" s="144"/>
      <c r="J34" s="28"/>
      <c r="K34" s="142"/>
      <c r="L34" s="142"/>
    </row>
    <row r="35" spans="2:12" x14ac:dyDescent="0.4">
      <c r="B35" s="9">
        <v>31</v>
      </c>
      <c r="C35" s="12">
        <f t="shared" si="2"/>
        <v>37561</v>
      </c>
      <c r="D35" s="11" t="str">
        <f>シミュレーション!$E$17</f>
        <v/>
      </c>
      <c r="E35" s="11">
        <f t="shared" si="3"/>
        <v>0</v>
      </c>
      <c r="F35" s="11">
        <f t="shared" si="1"/>
        <v>0</v>
      </c>
      <c r="G35" s="152"/>
      <c r="H35" s="143"/>
      <c r="I35" s="144"/>
      <c r="J35" s="28"/>
      <c r="K35" s="142"/>
      <c r="L35" s="142"/>
    </row>
    <row r="36" spans="2:12" x14ac:dyDescent="0.4">
      <c r="B36" s="9">
        <v>32</v>
      </c>
      <c r="C36" s="12">
        <f t="shared" si="2"/>
        <v>37591</v>
      </c>
      <c r="D36" s="11" t="str">
        <f>シミュレーション!$E$17</f>
        <v/>
      </c>
      <c r="E36" s="11">
        <f t="shared" si="3"/>
        <v>0</v>
      </c>
      <c r="F36" s="11">
        <f t="shared" si="1"/>
        <v>0</v>
      </c>
      <c r="G36" s="152"/>
      <c r="H36" s="143"/>
      <c r="I36" s="144"/>
      <c r="J36" s="28"/>
      <c r="K36" s="142"/>
      <c r="L36" s="142"/>
    </row>
    <row r="37" spans="2:12" x14ac:dyDescent="0.4">
      <c r="B37" s="9">
        <v>33</v>
      </c>
      <c r="C37" s="12">
        <f t="shared" si="2"/>
        <v>37622</v>
      </c>
      <c r="D37" s="11" t="str">
        <f>シミュレーション!$E$17</f>
        <v/>
      </c>
      <c r="E37" s="11">
        <f t="shared" si="3"/>
        <v>0</v>
      </c>
      <c r="F37" s="11">
        <f t="shared" si="1"/>
        <v>0</v>
      </c>
      <c r="G37" s="152"/>
      <c r="H37" s="143"/>
      <c r="I37" s="144"/>
      <c r="J37" s="28"/>
      <c r="K37" s="142"/>
      <c r="L37" s="142"/>
    </row>
    <row r="38" spans="2:12" x14ac:dyDescent="0.4">
      <c r="B38" s="9">
        <v>34</v>
      </c>
      <c r="C38" s="12">
        <f t="shared" si="2"/>
        <v>37653</v>
      </c>
      <c r="D38" s="11" t="str">
        <f>シミュレーション!$E$17</f>
        <v/>
      </c>
      <c r="E38" s="11">
        <f t="shared" si="3"/>
        <v>0</v>
      </c>
      <c r="F38" s="11">
        <f t="shared" ref="F38:F69" si="4">IFERROR(F37-D38,0)</f>
        <v>0</v>
      </c>
      <c r="G38" s="152"/>
      <c r="H38" s="143"/>
      <c r="I38" s="144"/>
      <c r="J38" s="28"/>
      <c r="K38" s="142"/>
      <c r="L38" s="142"/>
    </row>
    <row r="39" spans="2:12" x14ac:dyDescent="0.4">
      <c r="B39" s="9">
        <v>35</v>
      </c>
      <c r="C39" s="12">
        <f t="shared" si="2"/>
        <v>37681</v>
      </c>
      <c r="D39" s="11" t="str">
        <f>シミュレーション!$E$17</f>
        <v/>
      </c>
      <c r="E39" s="11">
        <f t="shared" si="3"/>
        <v>0</v>
      </c>
      <c r="F39" s="11">
        <f t="shared" si="4"/>
        <v>0</v>
      </c>
      <c r="G39" s="153"/>
      <c r="H39" s="143"/>
      <c r="I39" s="144"/>
      <c r="J39" s="22" t="s">
        <v>56</v>
      </c>
      <c r="K39" s="142"/>
      <c r="L39" s="142"/>
    </row>
    <row r="40" spans="2:12" x14ac:dyDescent="0.4">
      <c r="B40" s="9">
        <v>36</v>
      </c>
      <c r="C40" s="12">
        <f t="shared" si="2"/>
        <v>37712</v>
      </c>
      <c r="D40" s="11" t="str">
        <f>シミュレーション!$E$17</f>
        <v/>
      </c>
      <c r="E40" s="11">
        <f t="shared" si="3"/>
        <v>0</v>
      </c>
      <c r="F40" s="11">
        <f t="shared" si="4"/>
        <v>0</v>
      </c>
      <c r="G40" s="151">
        <f>SUM(E40:E51)</f>
        <v>0</v>
      </c>
      <c r="H40" s="143" t="e">
        <f>IF($J$2=3,ROUNDDOWN(G40*$H$2/$C$2,-3),IF($C$2&gt;SUM($H$2,$I$2),ROUNDDOWN(G40*$H$2/$C$2,-3),ROUNDDOWN(G40*($C$2-$I$2)/$C$2,-3)))</f>
        <v>#VALUE!</v>
      </c>
      <c r="I40" s="144" t="e">
        <f>IF($J$2=3,0,ROUNDDOWN(G40*$I$2/$C$2,-3))</f>
        <v>#VALUE!</v>
      </c>
      <c r="J40" s="29"/>
      <c r="K40" s="142" t="e">
        <f>H40/ROUNDDOWN(G40,-3)*$C$2</f>
        <v>#VALUE!</v>
      </c>
      <c r="L40" s="142" t="e">
        <f>I40/ROUNDDOWN(G40,-3)*$C$2</f>
        <v>#VALUE!</v>
      </c>
    </row>
    <row r="41" spans="2:12" x14ac:dyDescent="0.4">
      <c r="B41" s="9">
        <v>37</v>
      </c>
      <c r="C41" s="12">
        <f t="shared" si="2"/>
        <v>37742</v>
      </c>
      <c r="D41" s="11" t="str">
        <f>シミュレーション!$E$17</f>
        <v/>
      </c>
      <c r="E41" s="11">
        <f t="shared" si="3"/>
        <v>0</v>
      </c>
      <c r="F41" s="11">
        <f t="shared" si="4"/>
        <v>0</v>
      </c>
      <c r="G41" s="152"/>
      <c r="H41" s="143"/>
      <c r="I41" s="144"/>
      <c r="J41" s="28"/>
      <c r="K41" s="142"/>
      <c r="L41" s="142"/>
    </row>
    <row r="42" spans="2:12" x14ac:dyDescent="0.4">
      <c r="B42" s="9">
        <v>38</v>
      </c>
      <c r="C42" s="12">
        <f t="shared" si="2"/>
        <v>37773</v>
      </c>
      <c r="D42" s="11" t="str">
        <f>シミュレーション!$E$17</f>
        <v/>
      </c>
      <c r="E42" s="11">
        <f t="shared" si="3"/>
        <v>0</v>
      </c>
      <c r="F42" s="11">
        <f t="shared" si="4"/>
        <v>0</v>
      </c>
      <c r="G42" s="152"/>
      <c r="H42" s="143"/>
      <c r="I42" s="144"/>
      <c r="J42" s="28"/>
      <c r="K42" s="142"/>
      <c r="L42" s="142"/>
    </row>
    <row r="43" spans="2:12" x14ac:dyDescent="0.4">
      <c r="B43" s="9">
        <v>39</v>
      </c>
      <c r="C43" s="12">
        <f t="shared" si="2"/>
        <v>37803</v>
      </c>
      <c r="D43" s="11" t="str">
        <f>シミュレーション!$E$17</f>
        <v/>
      </c>
      <c r="E43" s="11">
        <f t="shared" si="3"/>
        <v>0</v>
      </c>
      <c r="F43" s="11">
        <f t="shared" si="4"/>
        <v>0</v>
      </c>
      <c r="G43" s="152"/>
      <c r="H43" s="143"/>
      <c r="I43" s="144"/>
      <c r="J43" s="28"/>
      <c r="K43" s="142"/>
      <c r="L43" s="142"/>
    </row>
    <row r="44" spans="2:12" x14ac:dyDescent="0.4">
      <c r="B44" s="9">
        <v>40</v>
      </c>
      <c r="C44" s="12">
        <f t="shared" si="2"/>
        <v>37834</v>
      </c>
      <c r="D44" s="11" t="str">
        <f>シミュレーション!$E$17</f>
        <v/>
      </c>
      <c r="E44" s="11">
        <f t="shared" si="3"/>
        <v>0</v>
      </c>
      <c r="F44" s="11">
        <f t="shared" si="4"/>
        <v>0</v>
      </c>
      <c r="G44" s="152"/>
      <c r="H44" s="143"/>
      <c r="I44" s="144"/>
      <c r="J44" s="28"/>
      <c r="K44" s="142"/>
      <c r="L44" s="142"/>
    </row>
    <row r="45" spans="2:12" x14ac:dyDescent="0.4">
      <c r="B45" s="9">
        <v>41</v>
      </c>
      <c r="C45" s="12">
        <f t="shared" si="2"/>
        <v>37865</v>
      </c>
      <c r="D45" s="11" t="str">
        <f>シミュレーション!$E$17</f>
        <v/>
      </c>
      <c r="E45" s="11">
        <f t="shared" si="3"/>
        <v>0</v>
      </c>
      <c r="F45" s="11">
        <f t="shared" si="4"/>
        <v>0</v>
      </c>
      <c r="G45" s="152"/>
      <c r="H45" s="143"/>
      <c r="I45" s="144"/>
      <c r="J45" s="28"/>
      <c r="K45" s="142"/>
      <c r="L45" s="142"/>
    </row>
    <row r="46" spans="2:12" x14ac:dyDescent="0.4">
      <c r="B46" s="9">
        <v>42</v>
      </c>
      <c r="C46" s="12">
        <f t="shared" si="2"/>
        <v>37895</v>
      </c>
      <c r="D46" s="11" t="str">
        <f>シミュレーション!$E$17</f>
        <v/>
      </c>
      <c r="E46" s="11">
        <f t="shared" ref="E46:E77" si="5">IF($C46="","",IF(F47=0,ROUNDDOWN((C47-C46+1)/365*F46*$C$2,0),ROUNDDOWN((C47-C46)/365*F46*$C$2,0)))</f>
        <v>0</v>
      </c>
      <c r="F46" s="11">
        <f t="shared" si="4"/>
        <v>0</v>
      </c>
      <c r="G46" s="152"/>
      <c r="H46" s="143"/>
      <c r="I46" s="144"/>
      <c r="J46" s="28"/>
      <c r="K46" s="142"/>
      <c r="L46" s="142"/>
    </row>
    <row r="47" spans="2:12" x14ac:dyDescent="0.4">
      <c r="B47" s="9">
        <v>43</v>
      </c>
      <c r="C47" s="12">
        <f t="shared" si="2"/>
        <v>37926</v>
      </c>
      <c r="D47" s="11" t="str">
        <f>シミュレーション!$E$17</f>
        <v/>
      </c>
      <c r="E47" s="11">
        <f t="shared" si="5"/>
        <v>0</v>
      </c>
      <c r="F47" s="11">
        <f t="shared" si="4"/>
        <v>0</v>
      </c>
      <c r="G47" s="152"/>
      <c r="H47" s="143"/>
      <c r="I47" s="144"/>
      <c r="J47" s="28"/>
      <c r="K47" s="142"/>
      <c r="L47" s="142"/>
    </row>
    <row r="48" spans="2:12" x14ac:dyDescent="0.4">
      <c r="B48" s="9">
        <v>44</v>
      </c>
      <c r="C48" s="12">
        <f t="shared" si="2"/>
        <v>37956</v>
      </c>
      <c r="D48" s="11" t="str">
        <f>シミュレーション!$E$17</f>
        <v/>
      </c>
      <c r="E48" s="11">
        <f t="shared" si="5"/>
        <v>0</v>
      </c>
      <c r="F48" s="11">
        <f t="shared" si="4"/>
        <v>0</v>
      </c>
      <c r="G48" s="152"/>
      <c r="H48" s="143"/>
      <c r="I48" s="144"/>
      <c r="J48" s="28"/>
      <c r="K48" s="142"/>
      <c r="L48" s="142"/>
    </row>
    <row r="49" spans="2:12" x14ac:dyDescent="0.4">
      <c r="B49" s="9">
        <v>45</v>
      </c>
      <c r="C49" s="12">
        <f t="shared" si="2"/>
        <v>37987</v>
      </c>
      <c r="D49" s="11" t="str">
        <f>シミュレーション!$E$17</f>
        <v/>
      </c>
      <c r="E49" s="11">
        <f t="shared" si="5"/>
        <v>0</v>
      </c>
      <c r="F49" s="11">
        <f t="shared" si="4"/>
        <v>0</v>
      </c>
      <c r="G49" s="152"/>
      <c r="H49" s="143"/>
      <c r="I49" s="144"/>
      <c r="J49" s="28"/>
      <c r="K49" s="142"/>
      <c r="L49" s="142"/>
    </row>
    <row r="50" spans="2:12" x14ac:dyDescent="0.4">
      <c r="B50" s="9">
        <v>46</v>
      </c>
      <c r="C50" s="12">
        <f t="shared" si="2"/>
        <v>38018</v>
      </c>
      <c r="D50" s="11" t="str">
        <f>シミュレーション!$E$17</f>
        <v/>
      </c>
      <c r="E50" s="11">
        <f t="shared" si="5"/>
        <v>0</v>
      </c>
      <c r="F50" s="11">
        <f t="shared" si="4"/>
        <v>0</v>
      </c>
      <c r="G50" s="152"/>
      <c r="H50" s="143"/>
      <c r="I50" s="144"/>
      <c r="J50" s="28"/>
      <c r="K50" s="142"/>
      <c r="L50" s="142"/>
    </row>
    <row r="51" spans="2:12" x14ac:dyDescent="0.4">
      <c r="B51" s="9">
        <v>47</v>
      </c>
      <c r="C51" s="12">
        <f t="shared" si="2"/>
        <v>38047</v>
      </c>
      <c r="D51" s="11" t="str">
        <f>シミュレーション!$E$17</f>
        <v/>
      </c>
      <c r="E51" s="11">
        <f t="shared" si="5"/>
        <v>0</v>
      </c>
      <c r="F51" s="11">
        <f t="shared" si="4"/>
        <v>0</v>
      </c>
      <c r="G51" s="153"/>
      <c r="H51" s="143"/>
      <c r="I51" s="144"/>
      <c r="J51" s="22" t="s">
        <v>57</v>
      </c>
      <c r="K51" s="142"/>
      <c r="L51" s="142"/>
    </row>
    <row r="52" spans="2:12" x14ac:dyDescent="0.4">
      <c r="B52" s="9">
        <v>48</v>
      </c>
      <c r="C52" s="12">
        <f t="shared" si="2"/>
        <v>38078</v>
      </c>
      <c r="D52" s="11" t="str">
        <f>シミュレーション!$E$17</f>
        <v/>
      </c>
      <c r="E52" s="11">
        <f t="shared" si="5"/>
        <v>0</v>
      </c>
      <c r="F52" s="11">
        <f t="shared" si="4"/>
        <v>0</v>
      </c>
      <c r="G52" s="151">
        <f>SUM(E52:E63)</f>
        <v>0</v>
      </c>
      <c r="H52" s="143" t="e">
        <f>IF(OR($J$2=3,$J$2=4),ROUNDDOWN(G52*$H$2/$C$2,-3),IF($C$2&gt;SUM($H$2,$I$2),ROUNDDOWN(G52*$H$2/$C$2,-3),ROUNDDOWN(G52*($C$2-$I$2)/$C$2,-3)))</f>
        <v>#VALUE!</v>
      </c>
      <c r="I52" s="144" t="e">
        <f>IF(OR($J$2=3,$J$2=4),0,ROUNDDOWN(G52*$I$2/$C$2,-3))</f>
        <v>#VALUE!</v>
      </c>
      <c r="J52" s="29"/>
      <c r="K52" s="142" t="e">
        <f>H52/ROUNDDOWN(G52,-3)*$C$2</f>
        <v>#VALUE!</v>
      </c>
      <c r="L52" s="142" t="e">
        <f>I52/ROUNDDOWN(G52,-3)*$C$2</f>
        <v>#VALUE!</v>
      </c>
    </row>
    <row r="53" spans="2:12" x14ac:dyDescent="0.4">
      <c r="B53" s="9">
        <v>49</v>
      </c>
      <c r="C53" s="12">
        <f t="shared" si="2"/>
        <v>38108</v>
      </c>
      <c r="D53" s="11" t="str">
        <f>シミュレーション!$E$17</f>
        <v/>
      </c>
      <c r="E53" s="11">
        <f t="shared" si="5"/>
        <v>0</v>
      </c>
      <c r="F53" s="11">
        <f t="shared" si="4"/>
        <v>0</v>
      </c>
      <c r="G53" s="152"/>
      <c r="H53" s="143"/>
      <c r="I53" s="144"/>
      <c r="J53" s="28"/>
      <c r="K53" s="142"/>
      <c r="L53" s="142"/>
    </row>
    <row r="54" spans="2:12" x14ac:dyDescent="0.4">
      <c r="B54" s="9">
        <v>50</v>
      </c>
      <c r="C54" s="12">
        <f t="shared" si="2"/>
        <v>38139</v>
      </c>
      <c r="D54" s="11" t="str">
        <f>シミュレーション!$E$17</f>
        <v/>
      </c>
      <c r="E54" s="11">
        <f t="shared" si="5"/>
        <v>0</v>
      </c>
      <c r="F54" s="11">
        <f t="shared" si="4"/>
        <v>0</v>
      </c>
      <c r="G54" s="152"/>
      <c r="H54" s="143"/>
      <c r="I54" s="144"/>
      <c r="J54" s="28"/>
      <c r="K54" s="142"/>
      <c r="L54" s="142"/>
    </row>
    <row r="55" spans="2:12" x14ac:dyDescent="0.4">
      <c r="B55" s="9">
        <v>51</v>
      </c>
      <c r="C55" s="12">
        <f t="shared" si="2"/>
        <v>38169</v>
      </c>
      <c r="D55" s="11" t="str">
        <f>シミュレーション!$E$17</f>
        <v/>
      </c>
      <c r="E55" s="11">
        <f t="shared" si="5"/>
        <v>0</v>
      </c>
      <c r="F55" s="11">
        <f t="shared" si="4"/>
        <v>0</v>
      </c>
      <c r="G55" s="152"/>
      <c r="H55" s="143"/>
      <c r="I55" s="144"/>
      <c r="J55" s="28"/>
      <c r="K55" s="142"/>
      <c r="L55" s="142"/>
    </row>
    <row r="56" spans="2:12" x14ac:dyDescent="0.4">
      <c r="B56" s="9">
        <v>52</v>
      </c>
      <c r="C56" s="12">
        <f t="shared" si="2"/>
        <v>38200</v>
      </c>
      <c r="D56" s="11" t="str">
        <f>シミュレーション!$E$17</f>
        <v/>
      </c>
      <c r="E56" s="11">
        <f t="shared" si="5"/>
        <v>0</v>
      </c>
      <c r="F56" s="11">
        <f t="shared" si="4"/>
        <v>0</v>
      </c>
      <c r="G56" s="152"/>
      <c r="H56" s="143"/>
      <c r="I56" s="144"/>
      <c r="J56" s="28"/>
      <c r="K56" s="142"/>
      <c r="L56" s="142"/>
    </row>
    <row r="57" spans="2:12" x14ac:dyDescent="0.4">
      <c r="B57" s="9">
        <v>53</v>
      </c>
      <c r="C57" s="12">
        <f t="shared" si="2"/>
        <v>38231</v>
      </c>
      <c r="D57" s="11" t="str">
        <f>シミュレーション!$E$17</f>
        <v/>
      </c>
      <c r="E57" s="11">
        <f t="shared" si="5"/>
        <v>0</v>
      </c>
      <c r="F57" s="11">
        <f t="shared" si="4"/>
        <v>0</v>
      </c>
      <c r="G57" s="152"/>
      <c r="H57" s="143"/>
      <c r="I57" s="144"/>
      <c r="J57" s="28"/>
      <c r="K57" s="142"/>
      <c r="L57" s="142"/>
    </row>
    <row r="58" spans="2:12" x14ac:dyDescent="0.4">
      <c r="B58" s="9">
        <v>54</v>
      </c>
      <c r="C58" s="12">
        <f t="shared" si="2"/>
        <v>38261</v>
      </c>
      <c r="D58" s="11" t="str">
        <f>シミュレーション!$E$17</f>
        <v/>
      </c>
      <c r="E58" s="11">
        <f t="shared" si="5"/>
        <v>0</v>
      </c>
      <c r="F58" s="11">
        <f t="shared" si="4"/>
        <v>0</v>
      </c>
      <c r="G58" s="152"/>
      <c r="H58" s="143"/>
      <c r="I58" s="144"/>
      <c r="J58" s="28"/>
      <c r="K58" s="142"/>
      <c r="L58" s="142"/>
    </row>
    <row r="59" spans="2:12" x14ac:dyDescent="0.4">
      <c r="B59" s="9">
        <v>55</v>
      </c>
      <c r="C59" s="12">
        <f t="shared" si="2"/>
        <v>38292</v>
      </c>
      <c r="D59" s="11" t="str">
        <f>シミュレーション!$E$17</f>
        <v/>
      </c>
      <c r="E59" s="11">
        <f t="shared" si="5"/>
        <v>0</v>
      </c>
      <c r="F59" s="11">
        <f t="shared" si="4"/>
        <v>0</v>
      </c>
      <c r="G59" s="152"/>
      <c r="H59" s="143"/>
      <c r="I59" s="144"/>
      <c r="J59" s="28"/>
      <c r="K59" s="142"/>
      <c r="L59" s="142"/>
    </row>
    <row r="60" spans="2:12" x14ac:dyDescent="0.4">
      <c r="B60" s="9">
        <v>56</v>
      </c>
      <c r="C60" s="12">
        <f t="shared" si="2"/>
        <v>38322</v>
      </c>
      <c r="D60" s="11" t="str">
        <f>シミュレーション!$E$17</f>
        <v/>
      </c>
      <c r="E60" s="11">
        <f t="shared" si="5"/>
        <v>0</v>
      </c>
      <c r="F60" s="11">
        <f t="shared" si="4"/>
        <v>0</v>
      </c>
      <c r="G60" s="152"/>
      <c r="H60" s="143"/>
      <c r="I60" s="144"/>
      <c r="J60" s="28"/>
      <c r="K60" s="142"/>
      <c r="L60" s="142"/>
    </row>
    <row r="61" spans="2:12" x14ac:dyDescent="0.4">
      <c r="B61" s="9">
        <v>57</v>
      </c>
      <c r="C61" s="12">
        <f t="shared" si="2"/>
        <v>38353</v>
      </c>
      <c r="D61" s="11" t="str">
        <f>シミュレーション!$E$17</f>
        <v/>
      </c>
      <c r="E61" s="11">
        <f t="shared" si="5"/>
        <v>0</v>
      </c>
      <c r="F61" s="11">
        <f t="shared" si="4"/>
        <v>0</v>
      </c>
      <c r="G61" s="152"/>
      <c r="H61" s="143"/>
      <c r="I61" s="144"/>
      <c r="J61" s="28"/>
      <c r="K61" s="142"/>
      <c r="L61" s="142"/>
    </row>
    <row r="62" spans="2:12" x14ac:dyDescent="0.4">
      <c r="B62" s="9">
        <v>58</v>
      </c>
      <c r="C62" s="12">
        <f t="shared" si="2"/>
        <v>38384</v>
      </c>
      <c r="D62" s="11" t="str">
        <f>シミュレーション!$E$17</f>
        <v/>
      </c>
      <c r="E62" s="11">
        <f t="shared" si="5"/>
        <v>0</v>
      </c>
      <c r="F62" s="11">
        <f t="shared" si="4"/>
        <v>0</v>
      </c>
      <c r="G62" s="152"/>
      <c r="H62" s="143"/>
      <c r="I62" s="144"/>
      <c r="J62" s="28"/>
      <c r="K62" s="142"/>
      <c r="L62" s="142"/>
    </row>
    <row r="63" spans="2:12" x14ac:dyDescent="0.4">
      <c r="B63" s="9">
        <v>59</v>
      </c>
      <c r="C63" s="12">
        <f t="shared" si="2"/>
        <v>38412</v>
      </c>
      <c r="D63" s="11" t="str">
        <f>シミュレーション!$E$17</f>
        <v/>
      </c>
      <c r="E63" s="11">
        <f t="shared" si="5"/>
        <v>0</v>
      </c>
      <c r="F63" s="11">
        <f t="shared" si="4"/>
        <v>0</v>
      </c>
      <c r="G63" s="153"/>
      <c r="H63" s="143"/>
      <c r="I63" s="144"/>
      <c r="J63" s="28"/>
      <c r="K63" s="142"/>
      <c r="L63" s="142"/>
    </row>
    <row r="64" spans="2:12" x14ac:dyDescent="0.4">
      <c r="B64" s="9">
        <v>60</v>
      </c>
      <c r="C64" s="12">
        <f t="shared" si="2"/>
        <v>38443</v>
      </c>
      <c r="D64" s="11" t="str">
        <f>シミュレーション!$E$17</f>
        <v/>
      </c>
      <c r="E64" s="11">
        <f t="shared" si="5"/>
        <v>0</v>
      </c>
      <c r="F64" s="11">
        <f t="shared" si="4"/>
        <v>0</v>
      </c>
      <c r="G64" s="151">
        <f>SUM(E64:E75)</f>
        <v>0</v>
      </c>
      <c r="H64" s="143" t="e">
        <f>IF(OR($J$2=3,$J$2=4),ROUNDDOWN(G64*$H$2/$C$2,-3),IF($C$2&gt;SUM($H$2,$I$2),ROUNDDOWN(G64*$H$2/$C$2,-3),ROUNDDOWN(G64*($C$2-$I$2)/$C$2,-3)))</f>
        <v>#VALUE!</v>
      </c>
      <c r="I64" s="144" t="e">
        <f>IF(OR($J$2=3,$J$2=4),0,ROUNDDOWN(G64*$I$2/$C$2,-3))</f>
        <v>#VALUE!</v>
      </c>
      <c r="J64" s="28"/>
      <c r="K64" s="142" t="e">
        <f>H64/ROUNDDOWN(G64,-3)*$C$2</f>
        <v>#VALUE!</v>
      </c>
      <c r="L64" s="142" t="e">
        <f>I64/ROUNDDOWN(G64,-3)*$C$2</f>
        <v>#VALUE!</v>
      </c>
    </row>
    <row r="65" spans="2:12" x14ac:dyDescent="0.4">
      <c r="B65" s="9">
        <v>61</v>
      </c>
      <c r="C65" s="12">
        <f t="shared" si="2"/>
        <v>38473</v>
      </c>
      <c r="D65" s="11" t="str">
        <f>シミュレーション!$E$17</f>
        <v/>
      </c>
      <c r="E65" s="11">
        <f t="shared" si="5"/>
        <v>0</v>
      </c>
      <c r="F65" s="11">
        <f t="shared" si="4"/>
        <v>0</v>
      </c>
      <c r="G65" s="152"/>
      <c r="H65" s="143"/>
      <c r="I65" s="144"/>
      <c r="J65" s="28"/>
      <c r="K65" s="142"/>
      <c r="L65" s="142"/>
    </row>
    <row r="66" spans="2:12" x14ac:dyDescent="0.4">
      <c r="B66" s="9">
        <v>62</v>
      </c>
      <c r="C66" s="12">
        <f t="shared" si="2"/>
        <v>38504</v>
      </c>
      <c r="D66" s="11" t="str">
        <f>シミュレーション!$E$17</f>
        <v/>
      </c>
      <c r="E66" s="11">
        <f t="shared" si="5"/>
        <v>0</v>
      </c>
      <c r="F66" s="11">
        <f t="shared" si="4"/>
        <v>0</v>
      </c>
      <c r="G66" s="152"/>
      <c r="H66" s="143"/>
      <c r="I66" s="144"/>
      <c r="J66" s="28"/>
      <c r="K66" s="142"/>
      <c r="L66" s="142"/>
    </row>
    <row r="67" spans="2:12" x14ac:dyDescent="0.4">
      <c r="B67" s="9">
        <v>63</v>
      </c>
      <c r="C67" s="12">
        <f t="shared" si="2"/>
        <v>38534</v>
      </c>
      <c r="D67" s="11" t="str">
        <f>シミュレーション!$E$17</f>
        <v/>
      </c>
      <c r="E67" s="11">
        <f t="shared" si="5"/>
        <v>0</v>
      </c>
      <c r="F67" s="11">
        <f t="shared" si="4"/>
        <v>0</v>
      </c>
      <c r="G67" s="152"/>
      <c r="H67" s="143"/>
      <c r="I67" s="144"/>
      <c r="J67" s="28"/>
      <c r="K67" s="142"/>
      <c r="L67" s="142"/>
    </row>
    <row r="68" spans="2:12" x14ac:dyDescent="0.4">
      <c r="B68" s="9">
        <v>64</v>
      </c>
      <c r="C68" s="12">
        <f t="shared" si="2"/>
        <v>38565</v>
      </c>
      <c r="D68" s="11" t="str">
        <f>シミュレーション!$E$17</f>
        <v/>
      </c>
      <c r="E68" s="11">
        <f t="shared" si="5"/>
        <v>0</v>
      </c>
      <c r="F68" s="11">
        <f t="shared" si="4"/>
        <v>0</v>
      </c>
      <c r="G68" s="152"/>
      <c r="H68" s="143"/>
      <c r="I68" s="144"/>
      <c r="J68" s="28"/>
      <c r="K68" s="142"/>
      <c r="L68" s="142"/>
    </row>
    <row r="69" spans="2:12" x14ac:dyDescent="0.4">
      <c r="B69" s="9">
        <v>65</v>
      </c>
      <c r="C69" s="12">
        <f t="shared" si="2"/>
        <v>38596</v>
      </c>
      <c r="D69" s="11" t="str">
        <f>シミュレーション!$E$17</f>
        <v/>
      </c>
      <c r="E69" s="11">
        <f t="shared" si="5"/>
        <v>0</v>
      </c>
      <c r="F69" s="11">
        <f t="shared" si="4"/>
        <v>0</v>
      </c>
      <c r="G69" s="152"/>
      <c r="H69" s="143"/>
      <c r="I69" s="144"/>
      <c r="J69" s="28"/>
      <c r="K69" s="142"/>
      <c r="L69" s="142"/>
    </row>
    <row r="70" spans="2:12" x14ac:dyDescent="0.4">
      <c r="B70" s="9">
        <v>66</v>
      </c>
      <c r="C70" s="12">
        <f t="shared" si="2"/>
        <v>38626</v>
      </c>
      <c r="D70" s="11" t="str">
        <f>シミュレーション!$E$17</f>
        <v/>
      </c>
      <c r="E70" s="11">
        <f t="shared" si="5"/>
        <v>0</v>
      </c>
      <c r="F70" s="11">
        <f t="shared" ref="F70:F87" si="6">IFERROR(F69-D70,0)</f>
        <v>0</v>
      </c>
      <c r="G70" s="152"/>
      <c r="H70" s="143"/>
      <c r="I70" s="144"/>
      <c r="J70" s="28"/>
      <c r="K70" s="142"/>
      <c r="L70" s="142"/>
    </row>
    <row r="71" spans="2:12" x14ac:dyDescent="0.4">
      <c r="B71" s="9">
        <v>67</v>
      </c>
      <c r="C71" s="12">
        <f t="shared" si="2"/>
        <v>38657</v>
      </c>
      <c r="D71" s="11" t="str">
        <f>シミュレーション!$E$17</f>
        <v/>
      </c>
      <c r="E71" s="11">
        <f t="shared" si="5"/>
        <v>0</v>
      </c>
      <c r="F71" s="11">
        <f t="shared" si="6"/>
        <v>0</v>
      </c>
      <c r="G71" s="152"/>
      <c r="H71" s="143"/>
      <c r="I71" s="144"/>
      <c r="J71" s="28"/>
      <c r="K71" s="142"/>
      <c r="L71" s="142"/>
    </row>
    <row r="72" spans="2:12" x14ac:dyDescent="0.4">
      <c r="B72" s="9">
        <v>68</v>
      </c>
      <c r="C72" s="12">
        <f t="shared" ref="C72:C87" si="7">IF(C71="","",EDATE(C71,1))</f>
        <v>38687</v>
      </c>
      <c r="D72" s="11" t="str">
        <f>シミュレーション!$E$17</f>
        <v/>
      </c>
      <c r="E72" s="11">
        <f t="shared" si="5"/>
        <v>0</v>
      </c>
      <c r="F72" s="11">
        <f t="shared" si="6"/>
        <v>0</v>
      </c>
      <c r="G72" s="152"/>
      <c r="H72" s="143"/>
      <c r="I72" s="144"/>
      <c r="J72" s="28"/>
      <c r="K72" s="142"/>
      <c r="L72" s="142"/>
    </row>
    <row r="73" spans="2:12" x14ac:dyDescent="0.4">
      <c r="B73" s="9">
        <v>69</v>
      </c>
      <c r="C73" s="12">
        <f t="shared" si="7"/>
        <v>38718</v>
      </c>
      <c r="D73" s="11" t="str">
        <f>シミュレーション!$E$17</f>
        <v/>
      </c>
      <c r="E73" s="11">
        <f t="shared" si="5"/>
        <v>0</v>
      </c>
      <c r="F73" s="11">
        <f t="shared" si="6"/>
        <v>0</v>
      </c>
      <c r="G73" s="152"/>
      <c r="H73" s="143"/>
      <c r="I73" s="144"/>
      <c r="J73" s="28"/>
      <c r="K73" s="142"/>
      <c r="L73" s="142"/>
    </row>
    <row r="74" spans="2:12" x14ac:dyDescent="0.4">
      <c r="B74" s="9">
        <v>70</v>
      </c>
      <c r="C74" s="12">
        <f t="shared" si="7"/>
        <v>38749</v>
      </c>
      <c r="D74" s="11" t="str">
        <f>シミュレーション!$E$17</f>
        <v/>
      </c>
      <c r="E74" s="11">
        <f t="shared" si="5"/>
        <v>0</v>
      </c>
      <c r="F74" s="11">
        <f t="shared" si="6"/>
        <v>0</v>
      </c>
      <c r="G74" s="152"/>
      <c r="H74" s="143"/>
      <c r="I74" s="144"/>
      <c r="J74" s="28"/>
      <c r="K74" s="142"/>
      <c r="L74" s="142"/>
    </row>
    <row r="75" spans="2:12" x14ac:dyDescent="0.4">
      <c r="B75" s="9">
        <v>71</v>
      </c>
      <c r="C75" s="12">
        <f t="shared" si="7"/>
        <v>38777</v>
      </c>
      <c r="D75" s="11" t="str">
        <f>シミュレーション!$E$17</f>
        <v/>
      </c>
      <c r="E75" s="11">
        <f t="shared" si="5"/>
        <v>0</v>
      </c>
      <c r="F75" s="11">
        <f t="shared" si="6"/>
        <v>0</v>
      </c>
      <c r="G75" s="153"/>
      <c r="H75" s="143"/>
      <c r="I75" s="144"/>
      <c r="J75" s="28"/>
      <c r="K75" s="142"/>
      <c r="L75" s="142"/>
    </row>
    <row r="76" spans="2:12" x14ac:dyDescent="0.4">
      <c r="B76" s="9">
        <v>72</v>
      </c>
      <c r="C76" s="12">
        <f t="shared" si="7"/>
        <v>38808</v>
      </c>
      <c r="D76" s="11" t="str">
        <f>シミュレーション!$E$17</f>
        <v/>
      </c>
      <c r="E76" s="11">
        <f t="shared" si="5"/>
        <v>0</v>
      </c>
      <c r="F76" s="11">
        <f t="shared" si="6"/>
        <v>0</v>
      </c>
      <c r="G76" s="151">
        <f>SUM(E76:E87)</f>
        <v>0</v>
      </c>
      <c r="H76" s="143" t="e">
        <f>IF(OR($J$2=3,$J$2=4),ROUNDDOWN(G76*$H$2/$C$2,-3),IF($C$2&gt;SUM($H$2,$I$2),ROUNDDOWN(G76*$H$2/$C$2,-3),ROUNDDOWN(G76*($C$2-$I$2)/$C$2,-3)))</f>
        <v>#VALUE!</v>
      </c>
      <c r="I76" s="144" t="e">
        <f>IF(OR($J$2=3,$J$2=4),0,ROUNDDOWN(G76*$I$2/$C$2,-3))</f>
        <v>#VALUE!</v>
      </c>
      <c r="J76" s="28"/>
      <c r="K76" s="142" t="e">
        <f>H76/ROUNDDOWN(G76,-3)*$C$2</f>
        <v>#VALUE!</v>
      </c>
      <c r="L76" s="142" t="e">
        <f>I76/ROUNDDOWN(G76,-3)*$C$2</f>
        <v>#VALUE!</v>
      </c>
    </row>
    <row r="77" spans="2:12" x14ac:dyDescent="0.4">
      <c r="B77" s="9">
        <v>73</v>
      </c>
      <c r="C77" s="12">
        <f t="shared" si="7"/>
        <v>38838</v>
      </c>
      <c r="D77" s="11" t="str">
        <f>シミュレーション!$E$17</f>
        <v/>
      </c>
      <c r="E77" s="11">
        <f t="shared" si="5"/>
        <v>0</v>
      </c>
      <c r="F77" s="11">
        <f t="shared" si="6"/>
        <v>0</v>
      </c>
      <c r="G77" s="152"/>
      <c r="H77" s="143"/>
      <c r="I77" s="144"/>
      <c r="J77" s="28"/>
      <c r="K77" s="142"/>
      <c r="L77" s="142"/>
    </row>
    <row r="78" spans="2:12" x14ac:dyDescent="0.4">
      <c r="B78" s="9">
        <v>74</v>
      </c>
      <c r="C78" s="12">
        <f t="shared" si="7"/>
        <v>38869</v>
      </c>
      <c r="D78" s="11" t="str">
        <f>シミュレーション!$E$17</f>
        <v/>
      </c>
      <c r="E78" s="11">
        <f t="shared" ref="E78:E87" si="8">IF($C78="","",IF(F79=0,ROUNDDOWN((C79-C78+1)/365*F78*$C$2,0),ROUNDDOWN((C79-C78)/365*F78*$C$2,0)))</f>
        <v>0</v>
      </c>
      <c r="F78" s="11">
        <f t="shared" si="6"/>
        <v>0</v>
      </c>
      <c r="G78" s="152"/>
      <c r="H78" s="143"/>
      <c r="I78" s="144"/>
      <c r="J78" s="28"/>
      <c r="K78" s="142"/>
      <c r="L78" s="142"/>
    </row>
    <row r="79" spans="2:12" x14ac:dyDescent="0.4">
      <c r="B79" s="9">
        <v>75</v>
      </c>
      <c r="C79" s="12">
        <f t="shared" si="7"/>
        <v>38899</v>
      </c>
      <c r="D79" s="11" t="str">
        <f>シミュレーション!$E$17</f>
        <v/>
      </c>
      <c r="E79" s="11">
        <f t="shared" si="8"/>
        <v>0</v>
      </c>
      <c r="F79" s="11">
        <f t="shared" si="6"/>
        <v>0</v>
      </c>
      <c r="G79" s="152"/>
      <c r="H79" s="143"/>
      <c r="I79" s="144"/>
      <c r="J79" s="28"/>
      <c r="K79" s="142"/>
      <c r="L79" s="142"/>
    </row>
    <row r="80" spans="2:12" x14ac:dyDescent="0.4">
      <c r="B80" s="9">
        <v>76</v>
      </c>
      <c r="C80" s="12">
        <f t="shared" si="7"/>
        <v>38930</v>
      </c>
      <c r="D80" s="11" t="str">
        <f>シミュレーション!$E$17</f>
        <v/>
      </c>
      <c r="E80" s="11">
        <f t="shared" si="8"/>
        <v>0</v>
      </c>
      <c r="F80" s="11">
        <f t="shared" si="6"/>
        <v>0</v>
      </c>
      <c r="G80" s="152"/>
      <c r="H80" s="143"/>
      <c r="I80" s="144"/>
      <c r="J80" s="28"/>
      <c r="K80" s="142"/>
      <c r="L80" s="142"/>
    </row>
    <row r="81" spans="2:12" x14ac:dyDescent="0.4">
      <c r="B81" s="9">
        <v>77</v>
      </c>
      <c r="C81" s="12">
        <f t="shared" si="7"/>
        <v>38961</v>
      </c>
      <c r="D81" s="11" t="str">
        <f>シミュレーション!$E$17</f>
        <v/>
      </c>
      <c r="E81" s="11">
        <f t="shared" si="8"/>
        <v>0</v>
      </c>
      <c r="F81" s="11">
        <f t="shared" si="6"/>
        <v>0</v>
      </c>
      <c r="G81" s="152"/>
      <c r="H81" s="143"/>
      <c r="I81" s="144"/>
      <c r="J81" s="28"/>
      <c r="K81" s="142"/>
      <c r="L81" s="142"/>
    </row>
    <row r="82" spans="2:12" x14ac:dyDescent="0.4">
      <c r="B82" s="9">
        <v>78</v>
      </c>
      <c r="C82" s="12">
        <f t="shared" si="7"/>
        <v>38991</v>
      </c>
      <c r="D82" s="11" t="str">
        <f>シミュレーション!$E$17</f>
        <v/>
      </c>
      <c r="E82" s="11">
        <f t="shared" si="8"/>
        <v>0</v>
      </c>
      <c r="F82" s="11">
        <f t="shared" si="6"/>
        <v>0</v>
      </c>
      <c r="G82" s="152"/>
      <c r="H82" s="143"/>
      <c r="I82" s="144"/>
      <c r="J82" s="28"/>
      <c r="K82" s="142"/>
      <c r="L82" s="142"/>
    </row>
    <row r="83" spans="2:12" x14ac:dyDescent="0.4">
      <c r="B83" s="9">
        <v>79</v>
      </c>
      <c r="C83" s="12">
        <f t="shared" si="7"/>
        <v>39022</v>
      </c>
      <c r="D83" s="11" t="str">
        <f>シミュレーション!$E$17</f>
        <v/>
      </c>
      <c r="E83" s="11">
        <f t="shared" si="8"/>
        <v>0</v>
      </c>
      <c r="F83" s="11">
        <f t="shared" si="6"/>
        <v>0</v>
      </c>
      <c r="G83" s="152"/>
      <c r="H83" s="143"/>
      <c r="I83" s="144"/>
      <c r="J83" s="28"/>
      <c r="K83" s="142"/>
      <c r="L83" s="142"/>
    </row>
    <row r="84" spans="2:12" x14ac:dyDescent="0.4">
      <c r="B84" s="9">
        <v>80</v>
      </c>
      <c r="C84" s="12">
        <f t="shared" si="7"/>
        <v>39052</v>
      </c>
      <c r="D84" s="11" t="str">
        <f>シミュレーション!$E$17</f>
        <v/>
      </c>
      <c r="E84" s="11">
        <f t="shared" si="8"/>
        <v>0</v>
      </c>
      <c r="F84" s="11">
        <f t="shared" si="6"/>
        <v>0</v>
      </c>
      <c r="G84" s="152"/>
      <c r="H84" s="143"/>
      <c r="I84" s="144"/>
      <c r="J84" s="28"/>
      <c r="K84" s="142"/>
      <c r="L84" s="142"/>
    </row>
    <row r="85" spans="2:12" x14ac:dyDescent="0.4">
      <c r="B85" s="9">
        <v>81</v>
      </c>
      <c r="C85" s="12">
        <f t="shared" si="7"/>
        <v>39083</v>
      </c>
      <c r="D85" s="11" t="str">
        <f>シミュレーション!$E$17</f>
        <v/>
      </c>
      <c r="E85" s="11">
        <f t="shared" si="8"/>
        <v>0</v>
      </c>
      <c r="F85" s="11">
        <f t="shared" si="6"/>
        <v>0</v>
      </c>
      <c r="G85" s="152"/>
      <c r="H85" s="143"/>
      <c r="I85" s="144"/>
      <c r="J85" s="28"/>
      <c r="K85" s="142"/>
      <c r="L85" s="142"/>
    </row>
    <row r="86" spans="2:12" x14ac:dyDescent="0.4">
      <c r="B86" s="9">
        <v>82</v>
      </c>
      <c r="C86" s="12">
        <f t="shared" si="7"/>
        <v>39114</v>
      </c>
      <c r="D86" s="11" t="str">
        <f>シミュレーション!$E$17</f>
        <v/>
      </c>
      <c r="E86" s="11">
        <f t="shared" si="8"/>
        <v>0</v>
      </c>
      <c r="F86" s="11">
        <f t="shared" si="6"/>
        <v>0</v>
      </c>
      <c r="G86" s="152"/>
      <c r="H86" s="143"/>
      <c r="I86" s="144"/>
      <c r="J86" s="28"/>
      <c r="K86" s="142"/>
      <c r="L86" s="142"/>
    </row>
    <row r="87" spans="2:12" ht="19.5" thickBot="1" x14ac:dyDescent="0.45">
      <c r="B87" s="17">
        <v>83</v>
      </c>
      <c r="C87" s="18">
        <f t="shared" si="7"/>
        <v>39142</v>
      </c>
      <c r="D87" s="19" t="e">
        <f>シミュレーション!E11-SUM(計画表!D5:D86)</f>
        <v>#VALUE!</v>
      </c>
      <c r="E87" s="19">
        <f t="shared" si="8"/>
        <v>0</v>
      </c>
      <c r="F87" s="19">
        <f t="shared" si="6"/>
        <v>0</v>
      </c>
      <c r="G87" s="161"/>
      <c r="H87" s="157"/>
      <c r="I87" s="158"/>
      <c r="J87" s="28"/>
      <c r="K87" s="142"/>
      <c r="L87" s="142"/>
    </row>
    <row r="88" spans="2:12" ht="19.5" thickTop="1" x14ac:dyDescent="0.4">
      <c r="B88" s="159" t="s">
        <v>49</v>
      </c>
      <c r="C88" s="160"/>
      <c r="D88" s="15" t="e">
        <f>SUM(D5:D87)</f>
        <v>#VALUE!</v>
      </c>
      <c r="E88" s="15" t="e">
        <f>SUM(E5:E87)</f>
        <v>#VALUE!</v>
      </c>
      <c r="F88" s="16"/>
      <c r="G88" s="15" t="e">
        <f>SUM(G5:G87)</f>
        <v>#VALUE!</v>
      </c>
      <c r="H88" s="15" t="e">
        <f>SUM(H5:H87)</f>
        <v>#VALUE!</v>
      </c>
      <c r="I88" s="15" t="e">
        <f>SUM(I5:I87)</f>
        <v>#VALUE!</v>
      </c>
      <c r="J88" s="25"/>
    </row>
    <row r="90" spans="2:12" x14ac:dyDescent="0.4">
      <c r="G90" s="7" t="s">
        <v>73</v>
      </c>
      <c r="H90" s="31" t="e">
        <f>ROUND(E88,-3)</f>
        <v>#VALUE!</v>
      </c>
    </row>
    <row r="91" spans="2:12" x14ac:dyDescent="0.4">
      <c r="G91" s="7" t="s">
        <v>74</v>
      </c>
      <c r="H91" s="31" t="e">
        <f>H88+I88</f>
        <v>#VALUE!</v>
      </c>
    </row>
    <row r="92" spans="2:12" x14ac:dyDescent="0.4">
      <c r="G92" s="7" t="s">
        <v>75</v>
      </c>
      <c r="H92" s="31" t="e">
        <f>H90-H91</f>
        <v>#VALUE!</v>
      </c>
    </row>
  </sheetData>
  <mergeCells count="36">
    <mergeCell ref="H64:H75"/>
    <mergeCell ref="I64:I75"/>
    <mergeCell ref="H76:H87"/>
    <mergeCell ref="I76:I87"/>
    <mergeCell ref="B88:C88"/>
    <mergeCell ref="G64:G75"/>
    <mergeCell ref="G76:G87"/>
    <mergeCell ref="G5:G15"/>
    <mergeCell ref="G16:G27"/>
    <mergeCell ref="G28:G39"/>
    <mergeCell ref="G40:G51"/>
    <mergeCell ref="G52:G63"/>
    <mergeCell ref="H40:H51"/>
    <mergeCell ref="I40:I51"/>
    <mergeCell ref="H52:H63"/>
    <mergeCell ref="I52:I63"/>
    <mergeCell ref="H5:H15"/>
    <mergeCell ref="I5:I15"/>
    <mergeCell ref="I16:I27"/>
    <mergeCell ref="H16:H27"/>
    <mergeCell ref="K5:K15"/>
    <mergeCell ref="L5:L15"/>
    <mergeCell ref="K16:K27"/>
    <mergeCell ref="L16:L27"/>
    <mergeCell ref="H28:H39"/>
    <mergeCell ref="I28:I39"/>
    <mergeCell ref="K64:K75"/>
    <mergeCell ref="L64:L75"/>
    <mergeCell ref="K76:K87"/>
    <mergeCell ref="L76:L87"/>
    <mergeCell ref="K28:K39"/>
    <mergeCell ref="L28:L39"/>
    <mergeCell ref="K40:K51"/>
    <mergeCell ref="L40:L51"/>
    <mergeCell ref="K52:K63"/>
    <mergeCell ref="L52:L6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F1A5-3B6C-4B60-8B1C-00E0C9BF807F}">
  <dimension ref="B2:G22"/>
  <sheetViews>
    <sheetView showGridLines="0" workbookViewId="0">
      <selection activeCell="J18" sqref="J18"/>
    </sheetView>
  </sheetViews>
  <sheetFormatPr defaultRowHeight="18.75" x14ac:dyDescent="0.4"/>
  <cols>
    <col min="1" max="1" width="4.875" customWidth="1"/>
    <col min="2" max="2" width="17.5" customWidth="1"/>
    <col min="3" max="4" width="10.875" customWidth="1"/>
    <col min="5" max="5" width="14.125" customWidth="1"/>
    <col min="6" max="6" width="9" style="1"/>
    <col min="7" max="7" width="14.375" customWidth="1"/>
  </cols>
  <sheetData>
    <row r="2" spans="2:7" ht="37.5" x14ac:dyDescent="0.4">
      <c r="B2" s="3" t="s">
        <v>1</v>
      </c>
      <c r="C2" s="3" t="s">
        <v>2</v>
      </c>
      <c r="D2" s="3" t="s">
        <v>3</v>
      </c>
      <c r="E2" s="3" t="s">
        <v>4</v>
      </c>
      <c r="F2" s="3" t="s">
        <v>5</v>
      </c>
      <c r="G2" s="21" t="s">
        <v>52</v>
      </c>
    </row>
    <row r="3" spans="2:7" x14ac:dyDescent="0.4">
      <c r="B3" s="3" t="s">
        <v>65</v>
      </c>
      <c r="C3" s="3"/>
      <c r="D3" s="3"/>
      <c r="E3" s="3"/>
      <c r="F3" s="3"/>
      <c r="G3" s="21"/>
    </row>
    <row r="4" spans="2:7" x14ac:dyDescent="0.4">
      <c r="B4" s="4" t="s">
        <v>6</v>
      </c>
      <c r="C4" s="30">
        <v>1.1000000000000001</v>
      </c>
      <c r="D4" s="5">
        <v>5.0000000000000001E-3</v>
      </c>
      <c r="E4" s="6" t="s">
        <v>7</v>
      </c>
      <c r="F4" s="2" t="s">
        <v>8</v>
      </c>
      <c r="G4" s="2">
        <v>7</v>
      </c>
    </row>
    <row r="5" spans="2:7" x14ac:dyDescent="0.4">
      <c r="B5" s="4" t="s">
        <v>9</v>
      </c>
      <c r="C5" s="30">
        <v>1.1000000000000001</v>
      </c>
      <c r="D5" s="5">
        <v>5.0000000000000001E-3</v>
      </c>
      <c r="E5" s="6" t="s">
        <v>7</v>
      </c>
      <c r="F5" s="2" t="s">
        <v>8</v>
      </c>
      <c r="G5" s="2">
        <v>7</v>
      </c>
    </row>
    <row r="6" spans="2:7" x14ac:dyDescent="0.4">
      <c r="B6" s="4" t="s">
        <v>10</v>
      </c>
      <c r="C6" s="30">
        <v>1.1000000000000001</v>
      </c>
      <c r="D6" s="5">
        <v>5.0000000000000001E-3</v>
      </c>
      <c r="E6" s="6" t="s">
        <v>7</v>
      </c>
      <c r="F6" s="2" t="s">
        <v>8</v>
      </c>
      <c r="G6" s="2">
        <v>7</v>
      </c>
    </row>
    <row r="7" spans="2:7" x14ac:dyDescent="0.4">
      <c r="B7" s="4" t="s">
        <v>11</v>
      </c>
      <c r="C7" s="30">
        <v>1.1000000000000001</v>
      </c>
      <c r="D7" s="5">
        <v>5.0000000000000001E-3</v>
      </c>
      <c r="E7" s="6" t="s">
        <v>7</v>
      </c>
      <c r="F7" s="2" t="s">
        <v>8</v>
      </c>
      <c r="G7" s="2">
        <v>7</v>
      </c>
    </row>
    <row r="8" spans="2:7" x14ac:dyDescent="0.4">
      <c r="B8" s="4" t="s">
        <v>12</v>
      </c>
      <c r="C8" s="30">
        <v>1.1000000000000001</v>
      </c>
      <c r="D8" s="5">
        <v>8.5000000000000006E-3</v>
      </c>
      <c r="E8" s="6" t="s">
        <v>7</v>
      </c>
      <c r="F8" s="2" t="s">
        <v>8</v>
      </c>
      <c r="G8" s="2">
        <v>7</v>
      </c>
    </row>
    <row r="9" spans="2:7" x14ac:dyDescent="0.4">
      <c r="B9" s="4" t="s">
        <v>13</v>
      </c>
      <c r="C9" s="30">
        <v>1.1000000000000001</v>
      </c>
      <c r="D9" s="5">
        <v>5.0000000000000001E-3</v>
      </c>
      <c r="E9" s="6" t="s">
        <v>7</v>
      </c>
      <c r="F9" s="2" t="s">
        <v>8</v>
      </c>
      <c r="G9" s="2">
        <v>7</v>
      </c>
    </row>
    <row r="10" spans="2:7" x14ac:dyDescent="0.4">
      <c r="B10" s="4" t="s">
        <v>14</v>
      </c>
      <c r="C10" s="30">
        <v>1.6</v>
      </c>
      <c r="D10" s="5">
        <v>0.01</v>
      </c>
      <c r="E10" s="6" t="s">
        <v>7</v>
      </c>
      <c r="F10" s="2" t="s">
        <v>8</v>
      </c>
      <c r="G10" s="2">
        <v>7</v>
      </c>
    </row>
    <row r="11" spans="2:7" x14ac:dyDescent="0.4">
      <c r="B11" s="4" t="s">
        <v>15</v>
      </c>
      <c r="C11" s="30">
        <v>1.6</v>
      </c>
      <c r="D11" s="5">
        <v>0.01</v>
      </c>
      <c r="E11" s="6" t="s">
        <v>7</v>
      </c>
      <c r="F11" s="2" t="s">
        <v>16</v>
      </c>
      <c r="G11" s="2">
        <v>7</v>
      </c>
    </row>
    <row r="12" spans="2:7" x14ac:dyDescent="0.4">
      <c r="B12" s="4" t="s">
        <v>17</v>
      </c>
      <c r="C12" s="30">
        <v>1.6</v>
      </c>
      <c r="D12" s="5">
        <v>0.01</v>
      </c>
      <c r="E12" s="6" t="s">
        <v>7</v>
      </c>
      <c r="F12" s="2" t="s">
        <v>16</v>
      </c>
      <c r="G12" s="2">
        <v>7</v>
      </c>
    </row>
    <row r="13" spans="2:7" x14ac:dyDescent="0.4">
      <c r="B13" s="4" t="s">
        <v>18</v>
      </c>
      <c r="C13" s="30">
        <v>1.6</v>
      </c>
      <c r="D13" s="5">
        <v>0.01</v>
      </c>
      <c r="E13" s="6" t="s">
        <v>7</v>
      </c>
      <c r="F13" s="2" t="s">
        <v>16</v>
      </c>
      <c r="G13" s="2">
        <v>7</v>
      </c>
    </row>
    <row r="14" spans="2:7" x14ac:dyDescent="0.4">
      <c r="B14" s="4" t="s">
        <v>19</v>
      </c>
      <c r="C14" s="30">
        <v>1.6</v>
      </c>
      <c r="D14" s="5">
        <v>0.01</v>
      </c>
      <c r="E14" s="6" t="s">
        <v>7</v>
      </c>
      <c r="F14" s="2" t="s">
        <v>16</v>
      </c>
      <c r="G14" s="2">
        <v>7</v>
      </c>
    </row>
    <row r="15" spans="2:7" x14ac:dyDescent="0.4">
      <c r="B15" s="4" t="s">
        <v>20</v>
      </c>
      <c r="C15" s="30">
        <v>1.6</v>
      </c>
      <c r="D15" s="5">
        <v>0.01</v>
      </c>
      <c r="E15" s="6" t="s">
        <v>7</v>
      </c>
      <c r="F15" s="2" t="s">
        <v>8</v>
      </c>
      <c r="G15" s="2">
        <v>7</v>
      </c>
    </row>
    <row r="16" spans="2:7" x14ac:dyDescent="0.4">
      <c r="B16" s="4" t="s">
        <v>21</v>
      </c>
      <c r="C16" s="30">
        <v>1.6</v>
      </c>
      <c r="D16" s="5">
        <v>0.01</v>
      </c>
      <c r="E16" s="6" t="s">
        <v>7</v>
      </c>
      <c r="F16" s="2" t="s">
        <v>16</v>
      </c>
      <c r="G16" s="2">
        <v>7</v>
      </c>
    </row>
    <row r="17" spans="2:7" x14ac:dyDescent="0.4">
      <c r="B17" s="4" t="s">
        <v>22</v>
      </c>
      <c r="C17" s="30">
        <v>1.6</v>
      </c>
      <c r="D17" s="5">
        <v>1.35E-2</v>
      </c>
      <c r="E17" s="5" t="s">
        <v>23</v>
      </c>
      <c r="F17" s="2" t="s">
        <v>16</v>
      </c>
      <c r="G17" s="2">
        <v>4</v>
      </c>
    </row>
    <row r="18" spans="2:7" x14ac:dyDescent="0.4">
      <c r="B18" s="4" t="s">
        <v>24</v>
      </c>
      <c r="C18" s="30">
        <v>1.6</v>
      </c>
      <c r="D18" s="5">
        <v>1.6E-2</v>
      </c>
      <c r="E18" s="5" t="s">
        <v>25</v>
      </c>
      <c r="F18" s="2" t="s">
        <v>8</v>
      </c>
      <c r="G18" s="2">
        <v>3</v>
      </c>
    </row>
    <row r="19" spans="2:7" x14ac:dyDescent="0.4">
      <c r="B19" s="4" t="s">
        <v>61</v>
      </c>
      <c r="C19" s="30">
        <v>1.6</v>
      </c>
      <c r="D19" s="5">
        <v>1.35E-2</v>
      </c>
      <c r="E19" s="5" t="s">
        <v>25</v>
      </c>
      <c r="F19" s="2" t="s">
        <v>16</v>
      </c>
      <c r="G19" s="2">
        <v>3</v>
      </c>
    </row>
    <row r="20" spans="2:7" x14ac:dyDescent="0.4">
      <c r="B20" s="4" t="s">
        <v>26</v>
      </c>
      <c r="C20" s="30">
        <v>1.6</v>
      </c>
      <c r="D20" s="5">
        <v>1.6E-2</v>
      </c>
      <c r="E20" s="5" t="s">
        <v>25</v>
      </c>
      <c r="F20" s="2" t="s">
        <v>16</v>
      </c>
      <c r="G20" s="2">
        <v>3</v>
      </c>
    </row>
    <row r="21" spans="2:7" x14ac:dyDescent="0.4">
      <c r="B21" s="4" t="s">
        <v>27</v>
      </c>
      <c r="C21" s="30">
        <v>1.6</v>
      </c>
      <c r="D21" s="5">
        <v>1.4999999999999999E-2</v>
      </c>
      <c r="E21" s="5" t="s">
        <v>25</v>
      </c>
      <c r="F21" s="2" t="s">
        <v>8</v>
      </c>
      <c r="G21" s="2">
        <v>3</v>
      </c>
    </row>
    <row r="22" spans="2:7" x14ac:dyDescent="0.4">
      <c r="B22" s="4" t="s">
        <v>28</v>
      </c>
      <c r="C22" s="30">
        <v>1.6</v>
      </c>
      <c r="D22" s="5">
        <v>1.35E-2</v>
      </c>
      <c r="E22" s="5" t="s">
        <v>25</v>
      </c>
      <c r="F22" s="2" t="s">
        <v>16</v>
      </c>
      <c r="G22" s="2">
        <v>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シミュレーション</vt:lpstr>
      <vt:lpstr>計画表</vt:lpstr>
      <vt:lpstr>市町データ</vt:lpstr>
      <vt:lpstr>シミュレーション!Print_Area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otomo</dc:creator>
  <cp:lastModifiedBy>俊弥 大友</cp:lastModifiedBy>
  <cp:lastPrinted>2023-07-11T00:45:21Z</cp:lastPrinted>
  <dcterms:created xsi:type="dcterms:W3CDTF">2022-07-27T01:06:42Z</dcterms:created>
  <dcterms:modified xsi:type="dcterms:W3CDTF">2024-03-26T01:03:29Z</dcterms:modified>
</cp:coreProperties>
</file>